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workbookProtection workbookPassword="DBAD" lockStructure="1"/>
  <bookViews>
    <workbookView xWindow="0" yWindow="0" windowWidth="17775" windowHeight="12645" tabRatio="939" activeTab="3"/>
  </bookViews>
  <sheets>
    <sheet name="MYP Assumptions" sheetId="2" r:id="rId1"/>
    <sheet name="UNRESTRICTED" sheetId="26" r:id="rId2"/>
    <sheet name="RESTRICTED" sheetId="27" r:id="rId3"/>
    <sheet name="COMBINED" sheetId="28" r:id="rId4"/>
    <sheet name="RS 3010-ALL" sheetId="1" state="hidden" r:id="rId5"/>
    <sheet name="SSC's Dartboard" sheetId="16" r:id="rId6"/>
    <sheet name="LCFF" sheetId="8" r:id="rId7"/>
    <sheet name="Other Revenue" sheetId="36" state="hidden" r:id="rId8"/>
    <sheet name="STRS &amp; PERS" sheetId="35" r:id="rId9"/>
    <sheet name="Textbook Adoption Schedule" sheetId="22" state="hidden" r:id="rId10"/>
    <sheet name="RS 00XX &amp; 1400" sheetId="31" state="hidden" r:id="rId11"/>
    <sheet name="RS 0653" sheetId="34" state="hidden" r:id="rId12"/>
    <sheet name="RS 0654" sheetId="30" state="hidden" r:id="rId13"/>
    <sheet name="RS 0655" sheetId="32" state="hidden" r:id="rId14"/>
    <sheet name="RS 1100" sheetId="33" state="hidden" r:id="rId15"/>
    <sheet name="RS 0617" sheetId="21" state="hidden" r:id="rId16"/>
    <sheet name="RS 6300" sheetId="20" state="hidden" r:id="rId17"/>
    <sheet name="2016-17  RS 3010-DO &amp; All Sites" sheetId="5" state="hidden" r:id="rId18"/>
    <sheet name="2017-18  RS 3010-DO &amp; All Sites" sheetId="38" state="hidden" r:id="rId19"/>
    <sheet name="RS 3010" sheetId="3" state="hidden" r:id="rId20"/>
    <sheet name="RS 4035" sheetId="6" state="hidden" r:id="rId21"/>
    <sheet name="RS 4201" sheetId="9" state="hidden" r:id="rId22"/>
    <sheet name="RS 4203" sheetId="7" state="hidden" r:id="rId23"/>
    <sheet name="RS 5640" sheetId="10" state="hidden" r:id="rId24"/>
    <sheet name="RS 6010" sheetId="11" state="hidden" r:id="rId25"/>
    <sheet name="RS 6264" sheetId="19" state="hidden" r:id="rId26"/>
    <sheet name="RS 3310" sheetId="12" state="hidden" r:id="rId27"/>
    <sheet name="RS 3311" sheetId="14" state="hidden" r:id="rId28"/>
    <sheet name="RS 6500" sheetId="13" state="hidden" r:id="rId29"/>
    <sheet name="RS 6512" sheetId="15" state="hidden" r:id="rId30"/>
    <sheet name="RS 6230" sheetId="17" state="hidden" r:id="rId31"/>
    <sheet name="RS 7810" sheetId="18" state="hidden" r:id="rId32"/>
    <sheet name="RS 8150" sheetId="23" state="hidden" r:id="rId33"/>
    <sheet name="RS 9225" sheetId="25" state="hidden" r:id="rId34"/>
    <sheet name="RS 9076" sheetId="24" state="hidden" r:id="rId35"/>
    <sheet name="RS 9221" sheetId="40" state="hidden" r:id="rId36"/>
    <sheet name="RS 9222" sheetId="39" state="hidden" r:id="rId37"/>
    <sheet name="OTHER FUNDS - MYP" sheetId="37" r:id="rId38"/>
    <sheet name="RS XXXX - MYP, BLANK" sheetId="4" state="hidden" r:id="rId39"/>
  </sheets>
  <definedNames>
    <definedName name="_xlnm.Print_Area" localSheetId="17">'2016-17  RS 3010-DO &amp; All Sites'!$A$1:$AG$128</definedName>
    <definedName name="_xlnm.Print_Area" localSheetId="18">'2017-18  RS 3010-DO &amp; All Sites'!$A$1:$AG$128</definedName>
    <definedName name="_xlnm.Print_Area" localSheetId="3">COMBINED!$A$1:$I$81</definedName>
    <definedName name="_xlnm.Print_Area" localSheetId="6">LCFF!$A$1:$AH$47</definedName>
    <definedName name="_xlnm.Print_Area" localSheetId="0">'MYP Assumptions'!$B$1:$M$79</definedName>
    <definedName name="_xlnm.Print_Area" localSheetId="37">'OTHER FUNDS - MYP'!$A$1:$G$72</definedName>
    <definedName name="_xlnm.Print_Area" localSheetId="2">RESTRICTED!$A$1:$L$81</definedName>
    <definedName name="_xlnm.Print_Area" localSheetId="10">'RS 00XX &amp; 1400'!$A$1:$R$182</definedName>
    <definedName name="_xlnm.Print_Area" localSheetId="1">UNRESTRICTED!$A$1:$M$81</definedName>
    <definedName name="_xlnm.Print_Titles" localSheetId="17">'2016-17  RS 3010-DO &amp; All Sites'!$A:$B,'2016-17  RS 3010-DO &amp; All Sites'!$1:$2</definedName>
    <definedName name="_xlnm.Print_Titles" localSheetId="18">'2017-18  RS 3010-DO &amp; All Sites'!$A:$B,'2017-18  RS 3010-DO &amp; All Sites'!$1:$2</definedName>
    <definedName name="_xlnm.Print_Titles" localSheetId="0">'MYP Assumptions'!$1:$4</definedName>
  </definedNames>
  <calcPr calcId="145621"/>
</workbook>
</file>

<file path=xl/calcChain.xml><?xml version="1.0" encoding="utf-8"?>
<calcChain xmlns="http://schemas.openxmlformats.org/spreadsheetml/2006/main">
  <c r="I41" i="26" l="1"/>
  <c r="H41" i="26"/>
  <c r="G41" i="26"/>
  <c r="F41" i="26"/>
  <c r="F39" i="26"/>
  <c r="I40" i="26"/>
  <c r="I40" i="28" s="1"/>
  <c r="Q40" i="28" s="1"/>
  <c r="H40" i="26"/>
  <c r="H40" i="28" s="1"/>
  <c r="P40" i="28" s="1"/>
  <c r="G40" i="26"/>
  <c r="F40" i="26"/>
  <c r="G40" i="28"/>
  <c r="O40" i="28" s="1"/>
  <c r="F40" i="28"/>
  <c r="N40" i="28" s="1"/>
  <c r="Q81" i="28" l="1"/>
  <c r="K4" i="26"/>
  <c r="L4" i="26" s="1"/>
  <c r="N62" i="28"/>
  <c r="O62" i="28"/>
  <c r="P62" i="28"/>
  <c r="Q62" i="28"/>
  <c r="N63" i="28"/>
  <c r="O63" i="28"/>
  <c r="P63" i="28"/>
  <c r="Q63" i="28"/>
  <c r="N72" i="28"/>
  <c r="O72" i="28"/>
  <c r="P72" i="28"/>
  <c r="Q72" i="28"/>
  <c r="N73" i="28"/>
  <c r="O73" i="28"/>
  <c r="P73" i="28"/>
  <c r="Q73" i="28"/>
  <c r="N81" i="28"/>
  <c r="O81" i="28"/>
  <c r="P81" i="28"/>
  <c r="N50" i="28"/>
  <c r="O50" i="28"/>
  <c r="P50" i="28"/>
  <c r="Q50" i="28"/>
  <c r="N51" i="28"/>
  <c r="O51" i="28"/>
  <c r="P51" i="28"/>
  <c r="Q51" i="28"/>
  <c r="N55" i="28"/>
  <c r="O55" i="28"/>
  <c r="P55" i="28"/>
  <c r="Q55" i="28"/>
  <c r="N57" i="28"/>
  <c r="O57" i="28"/>
  <c r="P57" i="28"/>
  <c r="Q57" i="28"/>
  <c r="N32" i="28"/>
  <c r="O32" i="28"/>
  <c r="P32" i="28"/>
  <c r="Q32" i="28"/>
  <c r="N24" i="28"/>
  <c r="O24" i="28"/>
  <c r="P24" i="28"/>
  <c r="Q24" i="28"/>
  <c r="N25" i="28"/>
  <c r="O25" i="28"/>
  <c r="P25" i="28"/>
  <c r="Q25" i="28"/>
  <c r="F17" i="28"/>
  <c r="G17" i="28"/>
  <c r="H17" i="28"/>
  <c r="I17" i="28"/>
  <c r="D19" i="28"/>
  <c r="D20" i="28"/>
  <c r="D18" i="28"/>
  <c r="N13" i="28"/>
  <c r="O13" i="28"/>
  <c r="P13" i="28"/>
  <c r="Q13" i="28"/>
  <c r="N14" i="28"/>
  <c r="O14" i="28"/>
  <c r="P14" i="28"/>
  <c r="Q14" i="28"/>
  <c r="F5" i="28"/>
  <c r="N5" i="28" s="1"/>
  <c r="G5" i="28"/>
  <c r="O5" i="28" s="1"/>
  <c r="H5" i="28"/>
  <c r="P5" i="28" s="1"/>
  <c r="I5" i="28"/>
  <c r="Q5" i="28" s="1"/>
  <c r="D5" i="28"/>
  <c r="F4" i="26" l="1"/>
  <c r="I42" i="26" l="1"/>
  <c r="I39" i="26"/>
  <c r="I38" i="26"/>
  <c r="I37" i="26"/>
  <c r="I36" i="26"/>
  <c r="I35" i="26"/>
  <c r="I34" i="26"/>
  <c r="I33" i="26"/>
  <c r="H34" i="26"/>
  <c r="H33" i="26"/>
  <c r="L43" i="33"/>
  <c r="L55" i="32"/>
  <c r="L55" i="30"/>
  <c r="L55" i="34"/>
  <c r="L91" i="31"/>
  <c r="Q103" i="25"/>
  <c r="M103" i="25"/>
  <c r="I103" i="25"/>
  <c r="Q99" i="25"/>
  <c r="M99" i="25"/>
  <c r="I99" i="25"/>
  <c r="Q96" i="25"/>
  <c r="M96" i="25"/>
  <c r="I96" i="25"/>
  <c r="Q82" i="25"/>
  <c r="M82" i="25"/>
  <c r="I82" i="25"/>
  <c r="Q15" i="25"/>
  <c r="M15" i="25"/>
  <c r="I15" i="25"/>
  <c r="Q11" i="25"/>
  <c r="M11" i="25"/>
  <c r="I11" i="25"/>
  <c r="Q98" i="23"/>
  <c r="M98" i="23"/>
  <c r="I102" i="23"/>
  <c r="I98" i="23"/>
  <c r="Q95" i="23"/>
  <c r="M95" i="23"/>
  <c r="I95" i="23"/>
  <c r="Q55" i="23"/>
  <c r="M55" i="23"/>
  <c r="I55" i="23"/>
  <c r="Q53" i="23"/>
  <c r="M53" i="23"/>
  <c r="I53" i="23"/>
  <c r="Q41" i="23"/>
  <c r="M41" i="23"/>
  <c r="I41" i="23"/>
  <c r="I11" i="23"/>
  <c r="Q85" i="15"/>
  <c r="Q55" i="15"/>
  <c r="M85" i="15"/>
  <c r="M55" i="15"/>
  <c r="I85" i="15"/>
  <c r="I55" i="15"/>
  <c r="Q53" i="15"/>
  <c r="M53" i="15"/>
  <c r="I53" i="15"/>
  <c r="Q41" i="15"/>
  <c r="M41" i="15"/>
  <c r="I41" i="15"/>
  <c r="I15" i="15"/>
  <c r="M15" i="15"/>
  <c r="Q15" i="15"/>
  <c r="Q11" i="15"/>
  <c r="M11" i="15"/>
  <c r="I11" i="15"/>
  <c r="Q104" i="13"/>
  <c r="M104" i="13"/>
  <c r="I104" i="13"/>
  <c r="Q101" i="13"/>
  <c r="M101" i="13"/>
  <c r="I101" i="13"/>
  <c r="Q94" i="13"/>
  <c r="M94" i="13"/>
  <c r="I94" i="13"/>
  <c r="Q76" i="13"/>
  <c r="M76" i="13"/>
  <c r="I76" i="13"/>
  <c r="Q65" i="13"/>
  <c r="M65" i="13"/>
  <c r="I65" i="13"/>
  <c r="Q63" i="13"/>
  <c r="M63" i="13"/>
  <c r="I63" i="13"/>
  <c r="I43" i="13"/>
  <c r="Q51" i="13"/>
  <c r="M51" i="13"/>
  <c r="I51" i="13"/>
  <c r="Q40" i="13"/>
  <c r="M40" i="13"/>
  <c r="I40" i="13"/>
  <c r="Q18" i="13"/>
  <c r="M18" i="13"/>
  <c r="I18" i="13"/>
  <c r="I12" i="13"/>
  <c r="M12" i="13"/>
  <c r="Q12" i="13"/>
  <c r="Q14" i="13"/>
  <c r="M14" i="13"/>
  <c r="I14" i="13"/>
  <c r="Q91" i="14"/>
  <c r="Q55" i="14"/>
  <c r="M91" i="14"/>
  <c r="M55" i="14"/>
  <c r="I91" i="14"/>
  <c r="I55" i="14"/>
  <c r="Q53" i="14"/>
  <c r="M53" i="14"/>
  <c r="I53" i="14"/>
  <c r="Q30" i="14"/>
  <c r="M30" i="14"/>
  <c r="I30" i="14"/>
  <c r="Q15" i="14"/>
  <c r="M15" i="14"/>
  <c r="I15" i="14"/>
  <c r="Q11" i="14"/>
  <c r="M11" i="14"/>
  <c r="I11" i="14"/>
  <c r="Q92" i="12"/>
  <c r="Q89" i="12"/>
  <c r="M92" i="12"/>
  <c r="M89" i="12"/>
  <c r="I92" i="12"/>
  <c r="I89" i="12"/>
  <c r="Q55" i="12"/>
  <c r="Q53" i="12"/>
  <c r="M55" i="12"/>
  <c r="M53" i="12"/>
  <c r="I55" i="12"/>
  <c r="I53" i="12"/>
  <c r="Q41" i="12"/>
  <c r="M41" i="12"/>
  <c r="I41" i="12"/>
  <c r="Q15" i="12"/>
  <c r="M15" i="12"/>
  <c r="I15" i="12"/>
  <c r="Q11" i="12"/>
  <c r="M11" i="12"/>
  <c r="I11" i="12"/>
  <c r="Q85" i="19"/>
  <c r="M85" i="19"/>
  <c r="I85" i="19"/>
  <c r="Q55" i="19"/>
  <c r="M55" i="19"/>
  <c r="I55" i="19"/>
  <c r="Q53" i="19"/>
  <c r="M53" i="19"/>
  <c r="I53" i="19"/>
  <c r="I30" i="19"/>
  <c r="Q53" i="11"/>
  <c r="M53" i="11"/>
  <c r="I53" i="11"/>
  <c r="Q41" i="11"/>
  <c r="M41" i="11"/>
  <c r="I41" i="11"/>
  <c r="Q82" i="11"/>
  <c r="M82" i="11"/>
  <c r="I82" i="11"/>
  <c r="Q55" i="11"/>
  <c r="M55" i="11"/>
  <c r="I55" i="11"/>
  <c r="Q30" i="11"/>
  <c r="M30" i="11"/>
  <c r="I30" i="11"/>
  <c r="I15" i="11"/>
  <c r="M15" i="11"/>
  <c r="Q15" i="11"/>
  <c r="Q11" i="11"/>
  <c r="M11" i="11"/>
  <c r="I11" i="11"/>
  <c r="Q85" i="10"/>
  <c r="Q82" i="10"/>
  <c r="M85" i="10"/>
  <c r="M82" i="10"/>
  <c r="I85" i="10"/>
  <c r="I82" i="10"/>
  <c r="Q66" i="10"/>
  <c r="M66" i="10"/>
  <c r="I66" i="10"/>
  <c r="I55" i="10"/>
  <c r="M55" i="10"/>
  <c r="Q55" i="10"/>
  <c r="Q53" i="10"/>
  <c r="M53" i="10"/>
  <c r="I53" i="10"/>
  <c r="Q30" i="10"/>
  <c r="M30" i="10"/>
  <c r="I30" i="10"/>
  <c r="Q15" i="10"/>
  <c r="M15" i="10"/>
  <c r="I15" i="10"/>
  <c r="Q11" i="10"/>
  <c r="M11" i="10"/>
  <c r="I11" i="10"/>
  <c r="I82" i="7"/>
  <c r="M82" i="7"/>
  <c r="Q82" i="7"/>
  <c r="Q66" i="7"/>
  <c r="M66" i="7"/>
  <c r="I66" i="7"/>
  <c r="Q55" i="7"/>
  <c r="Q53" i="7"/>
  <c r="M55" i="7"/>
  <c r="M53" i="7"/>
  <c r="I55" i="7"/>
  <c r="I53" i="7"/>
  <c r="Q30" i="7"/>
  <c r="M30" i="7"/>
  <c r="I30" i="7"/>
  <c r="G23" i="7"/>
  <c r="Q15" i="7"/>
  <c r="M15" i="7"/>
  <c r="I15" i="7"/>
  <c r="Q11" i="7"/>
  <c r="M11" i="7"/>
  <c r="I11" i="7"/>
  <c r="Q82" i="9"/>
  <c r="Q85" i="9"/>
  <c r="Q66" i="9"/>
  <c r="M66" i="9"/>
  <c r="M82" i="9"/>
  <c r="M85" i="9"/>
  <c r="I85" i="9"/>
  <c r="I82" i="9"/>
  <c r="I66" i="9"/>
  <c r="I16" i="9"/>
  <c r="M15" i="9"/>
  <c r="Q15" i="9"/>
  <c r="Q11" i="9"/>
  <c r="M11" i="9"/>
  <c r="I11" i="9"/>
  <c r="I84" i="6"/>
  <c r="M84" i="6"/>
  <c r="Q84" i="6"/>
  <c r="Q81" i="6"/>
  <c r="M81" i="6"/>
  <c r="I81" i="6"/>
  <c r="Q54" i="6"/>
  <c r="M54" i="6"/>
  <c r="I54" i="6"/>
  <c r="Q52" i="6"/>
  <c r="M52" i="6"/>
  <c r="I52" i="6"/>
  <c r="Q29" i="6"/>
  <c r="M29" i="6"/>
  <c r="I29" i="6"/>
  <c r="Q15" i="6"/>
  <c r="M15" i="6"/>
  <c r="I15" i="6"/>
  <c r="Q11" i="6"/>
  <c r="M11" i="6"/>
  <c r="I11" i="6"/>
  <c r="Q85" i="3"/>
  <c r="Q82" i="3"/>
  <c r="M82" i="3"/>
  <c r="I82" i="3"/>
  <c r="M66" i="3"/>
  <c r="I66" i="3"/>
  <c r="Q55" i="3"/>
  <c r="Q53" i="3"/>
  <c r="M53" i="3"/>
  <c r="I53" i="3"/>
  <c r="Q41" i="3"/>
  <c r="M41" i="3"/>
  <c r="I41" i="3"/>
  <c r="Q1" i="3"/>
  <c r="P1" i="3" s="1"/>
  <c r="M10" i="3"/>
  <c r="L1" i="3"/>
  <c r="L10" i="3"/>
  <c r="M1" i="3"/>
  <c r="Q30" i="3"/>
  <c r="I16" i="3"/>
  <c r="I12" i="3"/>
  <c r="Q85" i="20"/>
  <c r="M85" i="20"/>
  <c r="I85" i="20"/>
  <c r="Q81" i="20"/>
  <c r="M81" i="20"/>
  <c r="I81" i="20"/>
  <c r="Q62" i="20"/>
  <c r="M62" i="20"/>
  <c r="I62" i="20"/>
  <c r="Q11" i="20"/>
  <c r="M11" i="20"/>
  <c r="I11" i="20"/>
  <c r="Q9" i="33"/>
  <c r="M9" i="33"/>
  <c r="Q9" i="20"/>
  <c r="M9" i="20"/>
  <c r="L9" i="20" s="1"/>
  <c r="L9" i="33"/>
  <c r="P9" i="33" s="1"/>
  <c r="Q89" i="21"/>
  <c r="M89" i="21"/>
  <c r="I89" i="21"/>
  <c r="Q82" i="21"/>
  <c r="M82" i="21"/>
  <c r="I82" i="21"/>
  <c r="Q66" i="21"/>
  <c r="M66" i="21"/>
  <c r="I66" i="21"/>
  <c r="I11" i="21"/>
  <c r="I88" i="33"/>
  <c r="I84" i="33"/>
  <c r="Q81" i="33"/>
  <c r="M81" i="33"/>
  <c r="I81" i="33"/>
  <c r="Q75" i="33"/>
  <c r="M75" i="33"/>
  <c r="I75" i="33"/>
  <c r="Q59" i="33"/>
  <c r="M59" i="33"/>
  <c r="I59" i="33"/>
  <c r="Q45" i="33"/>
  <c r="Q43" i="33"/>
  <c r="M45" i="33"/>
  <c r="M43" i="33"/>
  <c r="I45" i="33"/>
  <c r="I43" i="33"/>
  <c r="Q31" i="33"/>
  <c r="M31" i="33"/>
  <c r="I31" i="33"/>
  <c r="Q24" i="33"/>
  <c r="M24" i="33"/>
  <c r="I24" i="33"/>
  <c r="I15" i="33"/>
  <c r="I11" i="33"/>
  <c r="I96" i="32"/>
  <c r="I92" i="32"/>
  <c r="Q89" i="32"/>
  <c r="M89" i="32"/>
  <c r="I89" i="32"/>
  <c r="Q71" i="32"/>
  <c r="M71" i="32"/>
  <c r="I71" i="32"/>
  <c r="Q57" i="32"/>
  <c r="Q55" i="32"/>
  <c r="M57" i="32"/>
  <c r="M55" i="32"/>
  <c r="I57" i="32"/>
  <c r="I55" i="32"/>
  <c r="Q43" i="32"/>
  <c r="M43" i="32"/>
  <c r="I43" i="32"/>
  <c r="I15" i="32"/>
  <c r="I11" i="32"/>
  <c r="M94" i="30"/>
  <c r="I94" i="30"/>
  <c r="M57" i="30"/>
  <c r="I57" i="30"/>
  <c r="Q87" i="30"/>
  <c r="M87" i="30"/>
  <c r="I87" i="30"/>
  <c r="Q71" i="30"/>
  <c r="M71" i="30"/>
  <c r="I71" i="30"/>
  <c r="M55" i="30"/>
  <c r="I55" i="30"/>
  <c r="Q43" i="30"/>
  <c r="M43" i="30"/>
  <c r="I43" i="30"/>
  <c r="M32" i="30"/>
  <c r="I32" i="30"/>
  <c r="Q15" i="30"/>
  <c r="M15" i="30"/>
  <c r="I15" i="30"/>
  <c r="I11" i="30"/>
  <c r="Q94" i="34"/>
  <c r="M94" i="34"/>
  <c r="I94" i="34"/>
  <c r="Q90" i="34"/>
  <c r="M90" i="34"/>
  <c r="I90" i="34"/>
  <c r="Q87" i="34"/>
  <c r="M87" i="34"/>
  <c r="I87" i="34"/>
  <c r="Q71" i="34"/>
  <c r="M71" i="34"/>
  <c r="I71" i="34"/>
  <c r="Q57" i="34"/>
  <c r="M57" i="34"/>
  <c r="I57" i="34"/>
  <c r="Q55" i="34"/>
  <c r="M55" i="34"/>
  <c r="I55" i="34"/>
  <c r="Q32" i="34"/>
  <c r="M32" i="34"/>
  <c r="I32" i="34"/>
  <c r="Q15" i="34"/>
  <c r="M15" i="34"/>
  <c r="I15" i="34"/>
  <c r="Q11" i="34"/>
  <c r="M11" i="34"/>
  <c r="K27" i="33"/>
  <c r="K29" i="33"/>
  <c r="I169" i="31"/>
  <c r="I166" i="31"/>
  <c r="I147" i="31"/>
  <c r="I107" i="31"/>
  <c r="I93" i="31"/>
  <c r="I91" i="31"/>
  <c r="I79" i="31"/>
  <c r="I64" i="31"/>
  <c r="I33" i="31"/>
  <c r="I11" i="34"/>
  <c r="Q64" i="31"/>
  <c r="M64" i="31"/>
  <c r="Q79" i="31"/>
  <c r="M79" i="31"/>
  <c r="M91" i="31"/>
  <c r="Q91" i="31"/>
  <c r="Q107" i="31"/>
  <c r="Q147" i="31"/>
  <c r="Q166" i="31"/>
  <c r="M166" i="31"/>
  <c r="M147" i="31"/>
  <c r="L79" i="31"/>
  <c r="L19" i="31"/>
  <c r="Q10" i="3" l="1"/>
  <c r="O9" i="33"/>
  <c r="L70" i="21"/>
  <c r="L69" i="21"/>
  <c r="O28" i="31"/>
  <c r="O27" i="31"/>
  <c r="O26" i="31"/>
  <c r="K28" i="31"/>
  <c r="K27" i="31"/>
  <c r="G28" i="31"/>
  <c r="H29" i="31" l="1"/>
  <c r="E59" i="2"/>
  <c r="F59" i="2"/>
  <c r="G59" i="2"/>
  <c r="H59" i="2"/>
  <c r="I59" i="2"/>
  <c r="J59" i="2"/>
  <c r="K59" i="2"/>
  <c r="D59" i="2"/>
  <c r="D40" i="2"/>
  <c r="H60" i="2" l="1"/>
  <c r="I60" i="2"/>
  <c r="J60" i="2"/>
  <c r="K60" i="2"/>
  <c r="G60" i="2"/>
  <c r="F60" i="2"/>
  <c r="E60" i="2"/>
  <c r="D60" i="2"/>
  <c r="H128" i="31" l="1"/>
  <c r="P40" i="31" l="1"/>
  <c r="L64" i="31"/>
  <c r="O41" i="31"/>
  <c r="O43" i="31"/>
  <c r="O45" i="31"/>
  <c r="O53" i="31"/>
  <c r="O61" i="31"/>
  <c r="K61" i="31"/>
  <c r="K53" i="31"/>
  <c r="K43" i="31"/>
  <c r="P39" i="31"/>
  <c r="G69" i="26"/>
  <c r="H69" i="26" s="1"/>
  <c r="I69" i="26" s="1"/>
  <c r="L163" i="31"/>
  <c r="L161" i="31"/>
  <c r="P61" i="34"/>
  <c r="P10" i="31"/>
  <c r="P70" i="21"/>
  <c r="P69" i="21"/>
  <c r="L74" i="23" l="1"/>
  <c r="L75" i="23"/>
  <c r="L82" i="23"/>
  <c r="L83" i="23"/>
  <c r="L85" i="23"/>
  <c r="L86" i="23"/>
  <c r="L87" i="23"/>
  <c r="L73" i="23"/>
  <c r="L70" i="10"/>
  <c r="P70" i="10" s="1"/>
  <c r="O70" i="10"/>
  <c r="L71" i="10"/>
  <c r="O71" i="10"/>
  <c r="P71" i="10"/>
  <c r="L72" i="10"/>
  <c r="O72" i="10"/>
  <c r="P72" i="10"/>
  <c r="P69" i="10"/>
  <c r="L69" i="10"/>
  <c r="L60" i="10"/>
  <c r="P60" i="10"/>
  <c r="O60" i="10" s="1"/>
  <c r="L61" i="10"/>
  <c r="P61" i="10"/>
  <c r="O61" i="10" s="1"/>
  <c r="L62" i="10"/>
  <c r="L63" i="10"/>
  <c r="P63" i="10" s="1"/>
  <c r="O63" i="10" s="1"/>
  <c r="P30" i="3"/>
  <c r="P10" i="3"/>
  <c r="L41" i="3"/>
  <c r="L30" i="3"/>
  <c r="P2" i="6"/>
  <c r="L3" i="6"/>
  <c r="L1" i="6"/>
  <c r="L9" i="6" s="1"/>
  <c r="P79" i="13"/>
  <c r="L79" i="13"/>
  <c r="P97" i="13"/>
  <c r="P98" i="13"/>
  <c r="P99" i="13"/>
  <c r="L99" i="13"/>
  <c r="L98" i="13"/>
  <c r="L97" i="13"/>
  <c r="Q9" i="13"/>
  <c r="Q10" i="13"/>
  <c r="M9" i="13"/>
  <c r="L9" i="13" s="1"/>
  <c r="P9" i="13" s="1"/>
  <c r="M10" i="13"/>
  <c r="O74" i="33"/>
  <c r="L86" i="32"/>
  <c r="L79" i="32"/>
  <c r="L78" i="32"/>
  <c r="L77" i="32"/>
  <c r="P84" i="32"/>
  <c r="P83" i="32"/>
  <c r="P82" i="32"/>
  <c r="P81" i="32"/>
  <c r="P80" i="32"/>
  <c r="P79" i="32"/>
  <c r="P76" i="32"/>
  <c r="P74" i="32"/>
  <c r="Q85" i="30"/>
  <c r="G85" i="30"/>
  <c r="K85" i="30"/>
  <c r="M85" i="30"/>
  <c r="L85" i="30" s="1"/>
  <c r="U85" i="30"/>
  <c r="Y85" i="30"/>
  <c r="AC85" i="30"/>
  <c r="P75" i="30"/>
  <c r="P76" i="30"/>
  <c r="P77" i="30"/>
  <c r="P78" i="30"/>
  <c r="P79" i="30"/>
  <c r="P80" i="30"/>
  <c r="P81" i="30"/>
  <c r="P82" i="30"/>
  <c r="P83" i="30"/>
  <c r="P74" i="30"/>
  <c r="L74" i="30"/>
  <c r="P62" i="30"/>
  <c r="P62" i="10" l="1"/>
  <c r="O62" i="10" s="1"/>
  <c r="O85" i="30"/>
  <c r="P85" i="30"/>
  <c r="P38" i="30"/>
  <c r="L38" i="30"/>
  <c r="P29" i="30"/>
  <c r="L29" i="30"/>
  <c r="P25" i="30"/>
  <c r="L25" i="30"/>
  <c r="P24" i="30"/>
  <c r="L24" i="30"/>
  <c r="P74" i="34"/>
  <c r="P157" i="31"/>
  <c r="P156" i="31"/>
  <c r="L157" i="31"/>
  <c r="L156" i="31"/>
  <c r="P145" i="31"/>
  <c r="P144" i="31"/>
  <c r="P143" i="31"/>
  <c r="P142" i="31"/>
  <c r="P141" i="31"/>
  <c r="P140" i="31"/>
  <c r="L144" i="31"/>
  <c r="L143" i="31"/>
  <c r="L142" i="31"/>
  <c r="L141" i="31"/>
  <c r="L140" i="31"/>
  <c r="P139" i="31"/>
  <c r="L138" i="31"/>
  <c r="L139" i="31"/>
  <c r="P138" i="31"/>
  <c r="P137" i="31"/>
  <c r="P135" i="31"/>
  <c r="P134" i="31"/>
  <c r="P131" i="31"/>
  <c r="P129" i="31"/>
  <c r="P128" i="31"/>
  <c r="P110" i="31"/>
  <c r="L28" i="33"/>
  <c r="H31" i="33"/>
  <c r="P27" i="33"/>
  <c r="L27" i="33"/>
  <c r="L29" i="33"/>
  <c r="L30" i="33"/>
  <c r="P30" i="33" s="1"/>
  <c r="P56" i="31"/>
  <c r="L56" i="31"/>
  <c r="L44" i="31"/>
  <c r="P22" i="31"/>
  <c r="O22" i="31" s="1"/>
  <c r="L22" i="31"/>
  <c r="L23" i="31"/>
  <c r="P23" i="31" s="1"/>
  <c r="L21" i="31"/>
  <c r="P21" i="31" s="1"/>
  <c r="L20" i="31"/>
  <c r="P20" i="31" s="1"/>
  <c r="P19" i="31"/>
  <c r="P18" i="31"/>
  <c r="L18" i="31"/>
  <c r="P14" i="31"/>
  <c r="L14" i="31"/>
  <c r="L12" i="31"/>
  <c r="P12" i="31"/>
  <c r="M47" i="8"/>
  <c r="P28" i="33" l="1"/>
  <c r="O28" i="33"/>
  <c r="S85" i="30"/>
  <c r="T85" i="30"/>
  <c r="L31" i="33"/>
  <c r="P29" i="33"/>
  <c r="O29" i="33" s="1"/>
  <c r="O23" i="31"/>
  <c r="O21" i="31"/>
  <c r="O20" i="31"/>
  <c r="O19" i="31"/>
  <c r="W85" i="30" l="1"/>
  <c r="X85" i="30"/>
  <c r="AA85" i="30" l="1"/>
  <c r="AB85" i="30"/>
  <c r="E33" i="2" l="1"/>
  <c r="D33" i="2"/>
  <c r="G47" i="26" l="1"/>
  <c r="G39" i="26"/>
  <c r="G38" i="26"/>
  <c r="G37" i="26"/>
  <c r="G36" i="26"/>
  <c r="G35" i="26"/>
  <c r="G34" i="26"/>
  <c r="G4" i="26"/>
  <c r="P160" i="31"/>
  <c r="O160" i="31"/>
  <c r="L160" i="31"/>
  <c r="K160" i="31"/>
  <c r="H110" i="31"/>
  <c r="H90" i="31"/>
  <c r="H91" i="31"/>
  <c r="H89" i="31"/>
  <c r="H88" i="31"/>
  <c r="H87" i="31"/>
  <c r="I86" i="31"/>
  <c r="H86" i="31"/>
  <c r="H85" i="31"/>
  <c r="G78" i="31"/>
  <c r="P54" i="31"/>
  <c r="L54" i="31"/>
  <c r="P60" i="31"/>
  <c r="L60" i="31"/>
  <c r="P47" i="31"/>
  <c r="L47" i="31"/>
  <c r="P46" i="31"/>
  <c r="L46" i="31"/>
  <c r="P55" i="31"/>
  <c r="L55" i="31"/>
  <c r="D57" i="31"/>
  <c r="D56" i="31"/>
  <c r="I4" i="26"/>
  <c r="H17" i="31"/>
  <c r="H10" i="31"/>
  <c r="P9" i="20" l="1"/>
  <c r="E14" i="22"/>
  <c r="E7" i="22"/>
  <c r="D14" i="22"/>
  <c r="D13" i="22"/>
  <c r="D12" i="22"/>
  <c r="D7" i="22"/>
  <c r="D8" i="22"/>
  <c r="P35" i="34" l="1"/>
  <c r="P21" i="34"/>
  <c r="L35" i="34"/>
  <c r="L21" i="34"/>
  <c r="H52" i="34"/>
  <c r="H49" i="34"/>
  <c r="H84" i="30"/>
  <c r="H77" i="30"/>
  <c r="H75" i="30"/>
  <c r="H53" i="30"/>
  <c r="H52" i="30"/>
  <c r="H51" i="30"/>
  <c r="H50" i="30"/>
  <c r="H49" i="30"/>
  <c r="H46" i="30"/>
  <c r="H37" i="30"/>
  <c r="H38" i="30"/>
  <c r="H36" i="30"/>
  <c r="H74" i="32" l="1"/>
  <c r="H53" i="32"/>
  <c r="D53" i="32"/>
  <c r="H36" i="32"/>
  <c r="H35" i="32"/>
  <c r="H59" i="33"/>
  <c r="H39" i="33" l="1"/>
  <c r="H40" i="33"/>
  <c r="H41" i="33"/>
  <c r="H37" i="33"/>
  <c r="P34" i="3"/>
  <c r="L33" i="3"/>
  <c r="L34" i="3"/>
  <c r="M25" i="3"/>
  <c r="M27" i="3"/>
  <c r="M28" i="3"/>
  <c r="P29" i="3"/>
  <c r="L2" i="6"/>
  <c r="P9" i="9"/>
  <c r="L9" i="9"/>
  <c r="I45" i="11"/>
  <c r="H13" i="11"/>
  <c r="P13" i="12"/>
  <c r="L13" i="12"/>
  <c r="P49" i="13"/>
  <c r="L49" i="13"/>
  <c r="L44" i="12"/>
  <c r="P82" i="13"/>
  <c r="P83" i="13"/>
  <c r="P84" i="13"/>
  <c r="P85" i="13"/>
  <c r="P87" i="13"/>
  <c r="P88" i="13"/>
  <c r="P89" i="13"/>
  <c r="P90" i="13"/>
  <c r="P91" i="13"/>
  <c r="P92" i="13"/>
  <c r="P81" i="13"/>
  <c r="P80" i="13"/>
  <c r="P13" i="15"/>
  <c r="L13" i="15"/>
  <c r="H13" i="15"/>
  <c r="P35" i="13" l="1"/>
  <c r="L35" i="13"/>
  <c r="P32" i="13"/>
  <c r="L32" i="13"/>
  <c r="Q25" i="13"/>
  <c r="Q26" i="13"/>
  <c r="Q27" i="13"/>
  <c r="Q28" i="13"/>
  <c r="Q29" i="13"/>
  <c r="Q30" i="13"/>
  <c r="Q31" i="13"/>
  <c r="Q33" i="13"/>
  <c r="Q34" i="13"/>
  <c r="Q36" i="13"/>
  <c r="Q37" i="13"/>
  <c r="Q24" i="13"/>
  <c r="G62" i="13"/>
  <c r="K48" i="13"/>
  <c r="G49" i="13"/>
  <c r="G46" i="13"/>
  <c r="G45" i="13"/>
  <c r="G44" i="13"/>
  <c r="G38" i="13"/>
  <c r="G37" i="13"/>
  <c r="G36" i="13"/>
  <c r="G35" i="13"/>
  <c r="G34" i="13"/>
  <c r="G33" i="13"/>
  <c r="G32" i="13"/>
  <c r="G31" i="13"/>
  <c r="G30" i="13"/>
  <c r="G29" i="13"/>
  <c r="G28" i="13"/>
  <c r="G27" i="13"/>
  <c r="G26" i="13"/>
  <c r="G25" i="13"/>
  <c r="G24" i="13"/>
  <c r="K31" i="13"/>
  <c r="K38" i="13"/>
  <c r="K24" i="13"/>
  <c r="L25" i="13"/>
  <c r="P25" i="13" s="1"/>
  <c r="O25" i="13" s="1"/>
  <c r="M25" i="13"/>
  <c r="L26" i="13"/>
  <c r="P26" i="13" s="1"/>
  <c r="O26" i="13" s="1"/>
  <c r="M26" i="13"/>
  <c r="L27" i="13"/>
  <c r="K27" i="13" s="1"/>
  <c r="M27" i="13"/>
  <c r="L28" i="13"/>
  <c r="P28" i="13" s="1"/>
  <c r="M28" i="13"/>
  <c r="L29" i="13"/>
  <c r="K29" i="13" s="1"/>
  <c r="M29" i="13"/>
  <c r="L30" i="13"/>
  <c r="P30" i="13" s="1"/>
  <c r="O30" i="13" s="1"/>
  <c r="M30" i="13"/>
  <c r="L31" i="13"/>
  <c r="O31" i="13" s="1"/>
  <c r="M31" i="13"/>
  <c r="L33" i="13"/>
  <c r="P33" i="13" s="1"/>
  <c r="O33" i="13" s="1"/>
  <c r="M33" i="13"/>
  <c r="L34" i="13"/>
  <c r="P34" i="13" s="1"/>
  <c r="O34" i="13" s="1"/>
  <c r="M34" i="13"/>
  <c r="L36" i="13"/>
  <c r="P36" i="13" s="1"/>
  <c r="M36" i="13"/>
  <c r="L37" i="13"/>
  <c r="K37" i="13" s="1"/>
  <c r="M37" i="13"/>
  <c r="L38" i="13"/>
  <c r="O38" i="13" s="1"/>
  <c r="M24" i="13"/>
  <c r="L24" i="13"/>
  <c r="P24" i="13" s="1"/>
  <c r="H61" i="13"/>
  <c r="H60" i="13"/>
  <c r="H59" i="13"/>
  <c r="H58" i="13"/>
  <c r="H57" i="13"/>
  <c r="H54" i="13"/>
  <c r="H47" i="13"/>
  <c r="H43" i="13"/>
  <c r="P73" i="23"/>
  <c r="P76" i="23"/>
  <c r="P77" i="23"/>
  <c r="P80" i="23"/>
  <c r="P81" i="23"/>
  <c r="P84" i="23"/>
  <c r="L61" i="23"/>
  <c r="L62" i="23"/>
  <c r="L63" i="23"/>
  <c r="H51" i="23"/>
  <c r="H37" i="23"/>
  <c r="H36" i="23"/>
  <c r="G10" i="27"/>
  <c r="AC81" i="40"/>
  <c r="Y81" i="40"/>
  <c r="U81" i="40"/>
  <c r="Q81" i="40"/>
  <c r="M81" i="40"/>
  <c r="I81" i="40"/>
  <c r="G81" i="40"/>
  <c r="D81" i="40"/>
  <c r="AC80" i="40"/>
  <c r="Y80" i="40"/>
  <c r="U80" i="40"/>
  <c r="Q80" i="40"/>
  <c r="M80" i="40"/>
  <c r="I80" i="40"/>
  <c r="H80" i="40" s="1"/>
  <c r="G80" i="40"/>
  <c r="AC79" i="40"/>
  <c r="Y79" i="40"/>
  <c r="U79" i="40"/>
  <c r="Q79" i="40"/>
  <c r="M79" i="40"/>
  <c r="I79" i="40"/>
  <c r="H79" i="40" s="1"/>
  <c r="G79" i="40"/>
  <c r="AC78" i="40"/>
  <c r="Y78" i="40"/>
  <c r="U78" i="40"/>
  <c r="Q78" i="40"/>
  <c r="M78" i="40"/>
  <c r="I78" i="40"/>
  <c r="H78" i="40" s="1"/>
  <c r="G78" i="40"/>
  <c r="AC77" i="40"/>
  <c r="Y77" i="40"/>
  <c r="U77" i="40"/>
  <c r="Q77" i="40"/>
  <c r="M77" i="40"/>
  <c r="I77" i="40"/>
  <c r="H77" i="40"/>
  <c r="G77" i="40"/>
  <c r="AC76" i="40"/>
  <c r="Y76" i="40"/>
  <c r="U76" i="40"/>
  <c r="Q76" i="40"/>
  <c r="M76" i="40"/>
  <c r="I76" i="40"/>
  <c r="H76" i="40" s="1"/>
  <c r="G76" i="40"/>
  <c r="AC75" i="40"/>
  <c r="Y75" i="40"/>
  <c r="U75" i="40"/>
  <c r="Q75" i="40"/>
  <c r="M75" i="40"/>
  <c r="I75" i="40"/>
  <c r="H75" i="40" s="1"/>
  <c r="G75" i="40"/>
  <c r="AC74" i="40"/>
  <c r="Y74" i="40"/>
  <c r="U74" i="40"/>
  <c r="Q74" i="40"/>
  <c r="M74" i="40"/>
  <c r="I74" i="40"/>
  <c r="H74" i="40" s="1"/>
  <c r="G74" i="40"/>
  <c r="AC73" i="40"/>
  <c r="Y73" i="40"/>
  <c r="U73" i="40"/>
  <c r="Q73" i="40"/>
  <c r="M73" i="40"/>
  <c r="I73" i="40"/>
  <c r="H73" i="40" s="1"/>
  <c r="G73" i="40"/>
  <c r="AC72" i="40"/>
  <c r="Y72" i="40"/>
  <c r="U72" i="40"/>
  <c r="Q72" i="40"/>
  <c r="M72" i="40"/>
  <c r="I72" i="40"/>
  <c r="H72" i="40" s="1"/>
  <c r="G72" i="40"/>
  <c r="AC71" i="40"/>
  <c r="Y71" i="40"/>
  <c r="U71" i="40"/>
  <c r="Q71" i="40"/>
  <c r="M71" i="40"/>
  <c r="I71" i="40"/>
  <c r="H71" i="40" s="1"/>
  <c r="G71" i="40"/>
  <c r="AC70" i="40"/>
  <c r="Y70" i="40"/>
  <c r="U70" i="40"/>
  <c r="Q70" i="40"/>
  <c r="M70" i="40"/>
  <c r="I70" i="40"/>
  <c r="H70" i="40" s="1"/>
  <c r="G70" i="40"/>
  <c r="AC69" i="40"/>
  <c r="Y69" i="40"/>
  <c r="H69" i="40"/>
  <c r="K69" i="40" s="1"/>
  <c r="G69" i="40"/>
  <c r="G66" i="40"/>
  <c r="D66" i="40"/>
  <c r="AC65" i="40"/>
  <c r="Y65" i="40"/>
  <c r="U65" i="40"/>
  <c r="Q65" i="40"/>
  <c r="M65" i="40"/>
  <c r="I65" i="40"/>
  <c r="H65" i="40" s="1"/>
  <c r="K65" i="40" s="1"/>
  <c r="G65" i="40"/>
  <c r="AC64" i="40"/>
  <c r="Y64" i="40"/>
  <c r="U64" i="40"/>
  <c r="Q64" i="40"/>
  <c r="M64" i="40"/>
  <c r="I64" i="40"/>
  <c r="H64" i="40" s="1"/>
  <c r="G64" i="40"/>
  <c r="AC63" i="40"/>
  <c r="Y63" i="40"/>
  <c r="U63" i="40"/>
  <c r="Q63" i="40"/>
  <c r="M63" i="40"/>
  <c r="I63" i="40"/>
  <c r="H63" i="40" s="1"/>
  <c r="K63" i="40" s="1"/>
  <c r="G63" i="40"/>
  <c r="AC62" i="40"/>
  <c r="Y62" i="40"/>
  <c r="U62" i="40"/>
  <c r="Q62" i="40"/>
  <c r="M62" i="40"/>
  <c r="I62" i="40"/>
  <c r="H62" i="40" s="1"/>
  <c r="G62" i="40"/>
  <c r="AC61" i="40"/>
  <c r="Y61" i="40"/>
  <c r="U61" i="40"/>
  <c r="Q61" i="40"/>
  <c r="M61" i="40"/>
  <c r="I61" i="40"/>
  <c r="H61" i="40" s="1"/>
  <c r="K61" i="40" s="1"/>
  <c r="G61" i="40"/>
  <c r="AC60" i="40"/>
  <c r="Y60" i="40"/>
  <c r="U60" i="40"/>
  <c r="Q60" i="40"/>
  <c r="M60" i="40"/>
  <c r="I60" i="40"/>
  <c r="H60" i="40" s="1"/>
  <c r="G60" i="40"/>
  <c r="AC59" i="40"/>
  <c r="Y59" i="40"/>
  <c r="X59" i="40" s="1"/>
  <c r="W59" i="40"/>
  <c r="T59" i="40"/>
  <c r="P59" i="40"/>
  <c r="O59" i="40"/>
  <c r="K59" i="40"/>
  <c r="G59" i="40"/>
  <c r="G53" i="40"/>
  <c r="D53" i="40"/>
  <c r="L52" i="40"/>
  <c r="O52" i="40" s="1"/>
  <c r="K52" i="40"/>
  <c r="H52" i="40"/>
  <c r="G52" i="40"/>
  <c r="L51" i="40"/>
  <c r="O51" i="40" s="1"/>
  <c r="K51" i="40"/>
  <c r="H51" i="40"/>
  <c r="G51" i="40"/>
  <c r="AC50" i="40"/>
  <c r="Y50" i="40"/>
  <c r="U50" i="40"/>
  <c r="Q50" i="40"/>
  <c r="M50" i="40"/>
  <c r="I50" i="40"/>
  <c r="G50" i="40"/>
  <c r="E50" i="40"/>
  <c r="AC49" i="40"/>
  <c r="Y49" i="40"/>
  <c r="U49" i="40"/>
  <c r="Q49" i="40"/>
  <c r="M49" i="40"/>
  <c r="I49" i="40"/>
  <c r="G49" i="40"/>
  <c r="E49" i="40"/>
  <c r="AC48" i="40"/>
  <c r="Y48" i="40"/>
  <c r="U48" i="40"/>
  <c r="Q48" i="40"/>
  <c r="M48" i="40"/>
  <c r="I48" i="40"/>
  <c r="H48" i="40" s="1"/>
  <c r="G48" i="40"/>
  <c r="AC47" i="40"/>
  <c r="Y47" i="40"/>
  <c r="U47" i="40"/>
  <c r="Q47" i="40"/>
  <c r="M47" i="40"/>
  <c r="I47" i="40"/>
  <c r="G47" i="40"/>
  <c r="E47" i="40"/>
  <c r="AC46" i="40"/>
  <c r="Y46" i="40"/>
  <c r="U46" i="40"/>
  <c r="Q46" i="40"/>
  <c r="M46" i="40"/>
  <c r="I46" i="40"/>
  <c r="G46" i="40"/>
  <c r="E46" i="40"/>
  <c r="AC45" i="40"/>
  <c r="Y45" i="40"/>
  <c r="U45" i="40"/>
  <c r="Q45" i="40"/>
  <c r="M45" i="40"/>
  <c r="I45" i="40"/>
  <c r="G45" i="40"/>
  <c r="E45" i="40"/>
  <c r="U44" i="40"/>
  <c r="Q44" i="40"/>
  <c r="M44" i="40"/>
  <c r="I44" i="40"/>
  <c r="G44" i="40"/>
  <c r="E44" i="40"/>
  <c r="D41" i="40"/>
  <c r="D55" i="40" s="1"/>
  <c r="G55" i="40" s="1"/>
  <c r="AC39" i="40"/>
  <c r="Y39" i="40"/>
  <c r="U39" i="40"/>
  <c r="Q39" i="40"/>
  <c r="M39" i="40"/>
  <c r="I39" i="40"/>
  <c r="H39" i="40"/>
  <c r="K39" i="40" s="1"/>
  <c r="G39" i="40"/>
  <c r="AC38" i="40"/>
  <c r="Y38" i="40"/>
  <c r="U38" i="40"/>
  <c r="Q38" i="40"/>
  <c r="M38" i="40"/>
  <c r="L38" i="40"/>
  <c r="P38" i="40" s="1"/>
  <c r="I38" i="40"/>
  <c r="H38" i="40"/>
  <c r="K38" i="40" s="1"/>
  <c r="G38" i="40"/>
  <c r="AC37" i="40"/>
  <c r="Y37" i="40"/>
  <c r="U37" i="40"/>
  <c r="Q37" i="40"/>
  <c r="M37" i="40"/>
  <c r="I37" i="40"/>
  <c r="H37" i="40"/>
  <c r="K37" i="40" s="1"/>
  <c r="G37" i="40"/>
  <c r="AC36" i="40"/>
  <c r="Y36" i="40"/>
  <c r="U36" i="40"/>
  <c r="Q36" i="40"/>
  <c r="M36" i="40"/>
  <c r="L36" i="40"/>
  <c r="P36" i="40" s="1"/>
  <c r="I36" i="40"/>
  <c r="H36" i="40"/>
  <c r="K36" i="40" s="1"/>
  <c r="G36" i="40"/>
  <c r="AC35" i="40"/>
  <c r="Y35" i="40"/>
  <c r="U35" i="40"/>
  <c r="Q35" i="40"/>
  <c r="M35" i="40"/>
  <c r="I35" i="40"/>
  <c r="H35" i="40"/>
  <c r="K35" i="40" s="1"/>
  <c r="G35" i="40"/>
  <c r="AC34" i="40"/>
  <c r="Y34" i="40"/>
  <c r="U34" i="40"/>
  <c r="Q34" i="40"/>
  <c r="M34" i="40"/>
  <c r="L34" i="40"/>
  <c r="P34" i="40" s="1"/>
  <c r="I34" i="40"/>
  <c r="H34" i="40"/>
  <c r="K34" i="40" s="1"/>
  <c r="G34" i="40"/>
  <c r="AC33" i="40"/>
  <c r="Y33" i="40"/>
  <c r="U33" i="40"/>
  <c r="Q33" i="40"/>
  <c r="M33" i="40"/>
  <c r="I33" i="40"/>
  <c r="H33" i="40"/>
  <c r="K33" i="40" s="1"/>
  <c r="G33" i="40"/>
  <c r="D30" i="40"/>
  <c r="G30" i="40" s="1"/>
  <c r="AC28" i="40"/>
  <c r="Y28" i="40"/>
  <c r="U28" i="40"/>
  <c r="Q28" i="40"/>
  <c r="M28" i="40"/>
  <c r="I28" i="40"/>
  <c r="H28" i="40"/>
  <c r="L28" i="40" s="1"/>
  <c r="G28" i="40"/>
  <c r="AC27" i="40"/>
  <c r="Y27" i="40"/>
  <c r="U27" i="40"/>
  <c r="Q27" i="40"/>
  <c r="P27" i="40"/>
  <c r="T27" i="40" s="1"/>
  <c r="M27" i="40"/>
  <c r="L27" i="40"/>
  <c r="O27" i="40" s="1"/>
  <c r="K27" i="40"/>
  <c r="I27" i="40"/>
  <c r="H27" i="40"/>
  <c r="G27" i="40"/>
  <c r="AC26" i="40"/>
  <c r="Y26" i="40"/>
  <c r="U26" i="40"/>
  <c r="Q26" i="40"/>
  <c r="M26" i="40"/>
  <c r="I26" i="40"/>
  <c r="H26" i="40"/>
  <c r="L26" i="40" s="1"/>
  <c r="G26" i="40"/>
  <c r="AC25" i="40"/>
  <c r="Y25" i="40"/>
  <c r="U25" i="40"/>
  <c r="Q25" i="40"/>
  <c r="P25" i="40"/>
  <c r="T25" i="40" s="1"/>
  <c r="M25" i="40"/>
  <c r="L25" i="40"/>
  <c r="O25" i="40" s="1"/>
  <c r="K25" i="40"/>
  <c r="I25" i="40"/>
  <c r="H25" i="40"/>
  <c r="G25" i="40"/>
  <c r="AC24" i="40"/>
  <c r="Y24" i="40"/>
  <c r="U24" i="40"/>
  <c r="Q24" i="40"/>
  <c r="M24" i="40"/>
  <c r="I24" i="40"/>
  <c r="H24" i="40"/>
  <c r="G24" i="40"/>
  <c r="AC23" i="40"/>
  <c r="Y23" i="40"/>
  <c r="U23" i="40"/>
  <c r="Q23" i="40"/>
  <c r="P23" i="40"/>
  <c r="O23" i="40"/>
  <c r="M23" i="40"/>
  <c r="L23" i="40"/>
  <c r="K23" i="40"/>
  <c r="I23" i="40"/>
  <c r="H23" i="40"/>
  <c r="G23" i="40"/>
  <c r="AC22" i="40"/>
  <c r="Y22" i="40"/>
  <c r="U22" i="40"/>
  <c r="Q22" i="40"/>
  <c r="M22" i="40"/>
  <c r="I22" i="40"/>
  <c r="H22" i="40"/>
  <c r="G22" i="40"/>
  <c r="AC21" i="40"/>
  <c r="Y21" i="40"/>
  <c r="U21" i="40"/>
  <c r="Q21" i="40"/>
  <c r="P21" i="40"/>
  <c r="O21" i="40"/>
  <c r="M21" i="40"/>
  <c r="L21" i="40"/>
  <c r="K21" i="40"/>
  <c r="I21" i="40"/>
  <c r="H21" i="40"/>
  <c r="G21" i="40"/>
  <c r="D15" i="40"/>
  <c r="G15" i="40" s="1"/>
  <c r="G13" i="40"/>
  <c r="D13" i="40"/>
  <c r="D96" i="40" s="1"/>
  <c r="H11" i="40"/>
  <c r="G11" i="40"/>
  <c r="D11" i="40"/>
  <c r="AB10" i="40"/>
  <c r="X10" i="40"/>
  <c r="AA10" i="40" s="1"/>
  <c r="T10" i="40"/>
  <c r="W10" i="40" s="1"/>
  <c r="P10" i="40"/>
  <c r="S10" i="40" s="1"/>
  <c r="L10" i="40"/>
  <c r="L11" i="40" s="1"/>
  <c r="K10" i="40"/>
  <c r="G10" i="40"/>
  <c r="P9" i="40"/>
  <c r="O9" i="40"/>
  <c r="K9" i="40"/>
  <c r="G9" i="40"/>
  <c r="H6" i="40"/>
  <c r="L6" i="40" s="1"/>
  <c r="P6" i="40" s="1"/>
  <c r="T6" i="40" s="1"/>
  <c r="X6" i="40" s="1"/>
  <c r="AB6" i="40" s="1"/>
  <c r="AB3" i="40"/>
  <c r="AB9" i="40" s="1"/>
  <c r="AB11" i="40" s="1"/>
  <c r="X3" i="40"/>
  <c r="X9" i="40" s="1"/>
  <c r="T3" i="40"/>
  <c r="K85" i="25"/>
  <c r="G93" i="25"/>
  <c r="G92" i="25"/>
  <c r="G91" i="25"/>
  <c r="G90" i="25"/>
  <c r="G89" i="25"/>
  <c r="G88" i="25"/>
  <c r="G87" i="25"/>
  <c r="G86" i="25"/>
  <c r="G85" i="25"/>
  <c r="AC81" i="39"/>
  <c r="Y81" i="39"/>
  <c r="U81" i="39"/>
  <c r="Q81" i="39"/>
  <c r="M81" i="39"/>
  <c r="I81" i="39"/>
  <c r="H81" i="39" s="1"/>
  <c r="G81" i="39"/>
  <c r="D81" i="39"/>
  <c r="D82" i="39" s="1"/>
  <c r="AC80" i="39"/>
  <c r="Y80" i="39"/>
  <c r="U80" i="39"/>
  <c r="Q80" i="39"/>
  <c r="M80" i="39"/>
  <c r="I80" i="39"/>
  <c r="H80" i="39" s="1"/>
  <c r="G80" i="39"/>
  <c r="AC79" i="39"/>
  <c r="Y79" i="39"/>
  <c r="U79" i="39"/>
  <c r="Q79" i="39"/>
  <c r="M79" i="39"/>
  <c r="I79" i="39"/>
  <c r="H79" i="39" s="1"/>
  <c r="G79" i="39"/>
  <c r="AC78" i="39"/>
  <c r="Y78" i="39"/>
  <c r="U78" i="39"/>
  <c r="Q78" i="39"/>
  <c r="M78" i="39"/>
  <c r="I78" i="39"/>
  <c r="H78" i="39" s="1"/>
  <c r="G78" i="39"/>
  <c r="AC77" i="39"/>
  <c r="Y77" i="39"/>
  <c r="U77" i="39"/>
  <c r="Q77" i="39"/>
  <c r="M77" i="39"/>
  <c r="I77" i="39"/>
  <c r="H77" i="39" s="1"/>
  <c r="G77" i="39"/>
  <c r="AC76" i="39"/>
  <c r="Y76" i="39"/>
  <c r="U76" i="39"/>
  <c r="Q76" i="39"/>
  <c r="M76" i="39"/>
  <c r="I76" i="39"/>
  <c r="H76" i="39" s="1"/>
  <c r="G76" i="39"/>
  <c r="AC75" i="39"/>
  <c r="Y75" i="39"/>
  <c r="U75" i="39"/>
  <c r="Q75" i="39"/>
  <c r="M75" i="39"/>
  <c r="I75" i="39"/>
  <c r="H75" i="39" s="1"/>
  <c r="G75" i="39"/>
  <c r="AC74" i="39"/>
  <c r="Y74" i="39"/>
  <c r="U74" i="39"/>
  <c r="Q74" i="39"/>
  <c r="M74" i="39"/>
  <c r="I74" i="39"/>
  <c r="H74" i="39" s="1"/>
  <c r="G74" i="39"/>
  <c r="AC73" i="39"/>
  <c r="Y73" i="39"/>
  <c r="U73" i="39"/>
  <c r="Q73" i="39"/>
  <c r="M73" i="39"/>
  <c r="I73" i="39"/>
  <c r="H73" i="39" s="1"/>
  <c r="G73" i="39"/>
  <c r="AC72" i="39"/>
  <c r="Y72" i="39"/>
  <c r="U72" i="39"/>
  <c r="Q72" i="39"/>
  <c r="M72" i="39"/>
  <c r="I72" i="39"/>
  <c r="H72" i="39" s="1"/>
  <c r="G72" i="39"/>
  <c r="AC71" i="39"/>
  <c r="Y71" i="39"/>
  <c r="U71" i="39"/>
  <c r="Q71" i="39"/>
  <c r="M71" i="39"/>
  <c r="I71" i="39"/>
  <c r="H71" i="39" s="1"/>
  <c r="G71" i="39"/>
  <c r="AC70" i="39"/>
  <c r="Y70" i="39"/>
  <c r="U70" i="39"/>
  <c r="Q70" i="39"/>
  <c r="M70" i="39"/>
  <c r="I70" i="39"/>
  <c r="H70" i="39" s="1"/>
  <c r="G70" i="39"/>
  <c r="AC69" i="39"/>
  <c r="Y69" i="39"/>
  <c r="H69" i="39"/>
  <c r="D66" i="39"/>
  <c r="AC65" i="39"/>
  <c r="Y65" i="39"/>
  <c r="U65" i="39"/>
  <c r="Q65" i="39"/>
  <c r="M65" i="39"/>
  <c r="I65" i="39"/>
  <c r="H65" i="39" s="1"/>
  <c r="G65" i="39"/>
  <c r="AC64" i="39"/>
  <c r="Y64" i="39"/>
  <c r="U64" i="39"/>
  <c r="Q64" i="39"/>
  <c r="M64" i="39"/>
  <c r="I64" i="39"/>
  <c r="H64" i="39" s="1"/>
  <c r="G64" i="39"/>
  <c r="AC63" i="39"/>
  <c r="Y63" i="39"/>
  <c r="U63" i="39"/>
  <c r="Q63" i="39"/>
  <c r="M63" i="39"/>
  <c r="I63" i="39"/>
  <c r="H63" i="39"/>
  <c r="G63" i="39"/>
  <c r="AC62" i="39"/>
  <c r="Y62" i="39"/>
  <c r="U62" i="39"/>
  <c r="Q62" i="39"/>
  <c r="M62" i="39"/>
  <c r="I62" i="39"/>
  <c r="H62" i="39" s="1"/>
  <c r="G62" i="39"/>
  <c r="AC61" i="39"/>
  <c r="Y61" i="39"/>
  <c r="U61" i="39"/>
  <c r="Q61" i="39"/>
  <c r="M61" i="39"/>
  <c r="I61" i="39"/>
  <c r="H61" i="39" s="1"/>
  <c r="G61" i="39"/>
  <c r="AC60" i="39"/>
  <c r="Y60" i="39"/>
  <c r="U60" i="39"/>
  <c r="Q60" i="39"/>
  <c r="M60" i="39"/>
  <c r="I60" i="39"/>
  <c r="H60" i="39" s="1"/>
  <c r="G60" i="39"/>
  <c r="AC59" i="39"/>
  <c r="Y59" i="39"/>
  <c r="G59" i="39"/>
  <c r="D53" i="39"/>
  <c r="L52" i="39"/>
  <c r="P52" i="39" s="1"/>
  <c r="K52" i="39"/>
  <c r="H52" i="39"/>
  <c r="G52" i="39"/>
  <c r="L51" i="39"/>
  <c r="P51" i="39" s="1"/>
  <c r="K51" i="39"/>
  <c r="H51" i="39"/>
  <c r="G51" i="39"/>
  <c r="AC50" i="39"/>
  <c r="Y50" i="39"/>
  <c r="U50" i="39"/>
  <c r="Q50" i="39"/>
  <c r="M50" i="39"/>
  <c r="I50" i="39"/>
  <c r="G50" i="39"/>
  <c r="E50" i="39"/>
  <c r="AC49" i="39"/>
  <c r="Y49" i="39"/>
  <c r="U49" i="39"/>
  <c r="Q49" i="39"/>
  <c r="M49" i="39"/>
  <c r="I49" i="39"/>
  <c r="G49" i="39"/>
  <c r="E49" i="39"/>
  <c r="AC48" i="39"/>
  <c r="Y48" i="39"/>
  <c r="U48" i="39"/>
  <c r="Q48" i="39"/>
  <c r="M48" i="39"/>
  <c r="I48" i="39"/>
  <c r="H48" i="39" s="1"/>
  <c r="G48" i="39"/>
  <c r="AC47" i="39"/>
  <c r="Y47" i="39"/>
  <c r="U47" i="39"/>
  <c r="Q47" i="39"/>
  <c r="M47" i="39"/>
  <c r="I47" i="39"/>
  <c r="G47" i="39"/>
  <c r="E47" i="39"/>
  <c r="AC46" i="39"/>
  <c r="Y46" i="39"/>
  <c r="U46" i="39"/>
  <c r="Q46" i="39"/>
  <c r="M46" i="39"/>
  <c r="I46" i="39"/>
  <c r="G46" i="39"/>
  <c r="E46" i="39"/>
  <c r="AC45" i="39"/>
  <c r="Y45" i="39"/>
  <c r="U45" i="39"/>
  <c r="Q45" i="39"/>
  <c r="M45" i="39"/>
  <c r="I45" i="39"/>
  <c r="G45" i="39"/>
  <c r="E45" i="39"/>
  <c r="U44" i="39"/>
  <c r="Q44" i="39"/>
  <c r="M44" i="39"/>
  <c r="I44" i="39"/>
  <c r="G44" i="39"/>
  <c r="E44" i="39"/>
  <c r="D41" i="39"/>
  <c r="G41" i="39" s="1"/>
  <c r="AC39" i="39"/>
  <c r="Y39" i="39"/>
  <c r="U39" i="39"/>
  <c r="Q39" i="39"/>
  <c r="M39" i="39"/>
  <c r="I39" i="39"/>
  <c r="H39" i="39"/>
  <c r="L39" i="39" s="1"/>
  <c r="G39" i="39"/>
  <c r="AC38" i="39"/>
  <c r="Y38" i="39"/>
  <c r="U38" i="39"/>
  <c r="Q38" i="39"/>
  <c r="P38" i="39"/>
  <c r="T38" i="39" s="1"/>
  <c r="M38" i="39"/>
  <c r="L38" i="39"/>
  <c r="O38" i="39" s="1"/>
  <c r="K38" i="39"/>
  <c r="I38" i="39"/>
  <c r="H38" i="39"/>
  <c r="G38" i="39"/>
  <c r="AC37" i="39"/>
  <c r="Y37" i="39"/>
  <c r="U37" i="39"/>
  <c r="Q37" i="39"/>
  <c r="M37" i="39"/>
  <c r="I37" i="39"/>
  <c r="H37" i="39"/>
  <c r="L37" i="39" s="1"/>
  <c r="G37" i="39"/>
  <c r="AC36" i="39"/>
  <c r="Y36" i="39"/>
  <c r="U36" i="39"/>
  <c r="Q36" i="39"/>
  <c r="P36" i="39"/>
  <c r="T36" i="39" s="1"/>
  <c r="M36" i="39"/>
  <c r="L36" i="39"/>
  <c r="O36" i="39" s="1"/>
  <c r="K36" i="39"/>
  <c r="I36" i="39"/>
  <c r="H36" i="39"/>
  <c r="G36" i="39"/>
  <c r="AC35" i="39"/>
  <c r="Y35" i="39"/>
  <c r="U35" i="39"/>
  <c r="Q35" i="39"/>
  <c r="M35" i="39"/>
  <c r="I35" i="39"/>
  <c r="H35" i="39"/>
  <c r="L35" i="39" s="1"/>
  <c r="G35" i="39"/>
  <c r="AC34" i="39"/>
  <c r="Y34" i="39"/>
  <c r="U34" i="39"/>
  <c r="Q34" i="39"/>
  <c r="P34" i="39"/>
  <c r="T34" i="39" s="1"/>
  <c r="M34" i="39"/>
  <c r="L34" i="39"/>
  <c r="O34" i="39" s="1"/>
  <c r="K34" i="39"/>
  <c r="I34" i="39"/>
  <c r="H34" i="39"/>
  <c r="G34" i="39"/>
  <c r="AC33" i="39"/>
  <c r="Y33" i="39"/>
  <c r="U33" i="39"/>
  <c r="Q33" i="39"/>
  <c r="M33" i="39"/>
  <c r="I33" i="39"/>
  <c r="H33" i="39"/>
  <c r="H41" i="39" s="1"/>
  <c r="G33" i="39"/>
  <c r="G30" i="39"/>
  <c r="D30" i="39"/>
  <c r="AC28" i="39"/>
  <c r="Y28" i="39"/>
  <c r="U28" i="39"/>
  <c r="Q28" i="39"/>
  <c r="M28" i="39"/>
  <c r="L28" i="39"/>
  <c r="I28" i="39"/>
  <c r="H28" i="39"/>
  <c r="K28" i="39" s="1"/>
  <c r="G28" i="39"/>
  <c r="AC27" i="39"/>
  <c r="Y27" i="39"/>
  <c r="U27" i="39"/>
  <c r="T27" i="39"/>
  <c r="Q27" i="39"/>
  <c r="M27" i="39"/>
  <c r="K27" i="39"/>
  <c r="I27" i="39"/>
  <c r="H27" i="39"/>
  <c r="L27" i="39" s="1"/>
  <c r="P27" i="39" s="1"/>
  <c r="S27" i="39" s="1"/>
  <c r="G27" i="39"/>
  <c r="AC26" i="39"/>
  <c r="Y26" i="39"/>
  <c r="U26" i="39"/>
  <c r="Q26" i="39"/>
  <c r="M26" i="39"/>
  <c r="I26" i="39"/>
  <c r="H26" i="39"/>
  <c r="K26" i="39" s="1"/>
  <c r="G26" i="39"/>
  <c r="AC25" i="39"/>
  <c r="Y25" i="39"/>
  <c r="U25" i="39"/>
  <c r="Q25" i="39"/>
  <c r="M25" i="39"/>
  <c r="K25" i="39"/>
  <c r="I25" i="39"/>
  <c r="H25" i="39"/>
  <c r="L25" i="39" s="1"/>
  <c r="P25" i="39" s="1"/>
  <c r="G25" i="39"/>
  <c r="AC24" i="39"/>
  <c r="Y24" i="39"/>
  <c r="U24" i="39"/>
  <c r="Q24" i="39"/>
  <c r="M24" i="39"/>
  <c r="L24" i="39"/>
  <c r="I24" i="39"/>
  <c r="H24" i="39"/>
  <c r="K24" i="39" s="1"/>
  <c r="G24" i="39"/>
  <c r="AC23" i="39"/>
  <c r="Y23" i="39"/>
  <c r="U23" i="39"/>
  <c r="Q23" i="39"/>
  <c r="M23" i="39"/>
  <c r="K23" i="39"/>
  <c r="I23" i="39"/>
  <c r="H23" i="39"/>
  <c r="L23" i="39" s="1"/>
  <c r="P23" i="39" s="1"/>
  <c r="G23" i="39"/>
  <c r="AC22" i="39"/>
  <c r="Y22" i="39"/>
  <c r="U22" i="39"/>
  <c r="Q22" i="39"/>
  <c r="M22" i="39"/>
  <c r="I22" i="39"/>
  <c r="H22" i="39"/>
  <c r="K22" i="39" s="1"/>
  <c r="G22" i="39"/>
  <c r="AC21" i="39"/>
  <c r="Y21" i="39"/>
  <c r="U21" i="39"/>
  <c r="Q21" i="39"/>
  <c r="M21" i="39"/>
  <c r="K21" i="39"/>
  <c r="I21" i="39"/>
  <c r="H21" i="39"/>
  <c r="H30" i="39" s="1"/>
  <c r="G21" i="39"/>
  <c r="H11" i="39"/>
  <c r="D11" i="39"/>
  <c r="AB10" i="39"/>
  <c r="AA10" i="39"/>
  <c r="X10" i="39"/>
  <c r="T10" i="39"/>
  <c r="W10" i="39" s="1"/>
  <c r="P10" i="39"/>
  <c r="S10" i="39" s="1"/>
  <c r="L10" i="39"/>
  <c r="O10" i="39" s="1"/>
  <c r="K10" i="39"/>
  <c r="G10" i="39"/>
  <c r="G9" i="39"/>
  <c r="H6" i="39"/>
  <c r="L6" i="39" s="1"/>
  <c r="P6" i="39" s="1"/>
  <c r="T6" i="39" s="1"/>
  <c r="X6" i="39" s="1"/>
  <c r="AB6" i="39" s="1"/>
  <c r="AB3" i="39"/>
  <c r="AB9" i="39" s="1"/>
  <c r="AB11" i="39" s="1"/>
  <c r="X3" i="39"/>
  <c r="X9" i="39" s="1"/>
  <c r="T3" i="39"/>
  <c r="G5" i="37"/>
  <c r="G6" i="37"/>
  <c r="F5" i="37"/>
  <c r="G4" i="37"/>
  <c r="F4" i="37"/>
  <c r="G52" i="37"/>
  <c r="F52" i="37"/>
  <c r="G61" i="37"/>
  <c r="F61" i="37"/>
  <c r="F69" i="37"/>
  <c r="G69" i="37" s="1"/>
  <c r="F53" i="37"/>
  <c r="G53" i="37" s="1"/>
  <c r="F29" i="37"/>
  <c r="G29" i="37" s="1"/>
  <c r="F21" i="37"/>
  <c r="G21" i="37" s="1"/>
  <c r="F13" i="37"/>
  <c r="G13" i="37" s="1"/>
  <c r="E38" i="37"/>
  <c r="C30" i="37"/>
  <c r="E6" i="37"/>
  <c r="D6" i="37"/>
  <c r="C6" i="37"/>
  <c r="K26" i="13" l="1"/>
  <c r="K34" i="13"/>
  <c r="L65" i="39"/>
  <c r="L73" i="40"/>
  <c r="O73" i="40" s="1"/>
  <c r="L61" i="39"/>
  <c r="L79" i="40"/>
  <c r="P79" i="40" s="1"/>
  <c r="L81" i="39"/>
  <c r="L77" i="40"/>
  <c r="O77" i="40" s="1"/>
  <c r="F22" i="37"/>
  <c r="L71" i="40"/>
  <c r="P71" i="40" s="1"/>
  <c r="AA59" i="40"/>
  <c r="AB59" i="40"/>
  <c r="L60" i="39"/>
  <c r="L63" i="39"/>
  <c r="O63" i="39" s="1"/>
  <c r="L61" i="40"/>
  <c r="O61" i="40" s="1"/>
  <c r="L63" i="40"/>
  <c r="P63" i="40" s="1"/>
  <c r="L65" i="40"/>
  <c r="P65" i="40" s="1"/>
  <c r="K60" i="39"/>
  <c r="L75" i="40"/>
  <c r="P75" i="40" s="1"/>
  <c r="H81" i="40"/>
  <c r="K81" i="40" s="1"/>
  <c r="H82" i="39"/>
  <c r="K30" i="13"/>
  <c r="O35" i="13"/>
  <c r="K35" i="13"/>
  <c r="K36" i="13"/>
  <c r="K32" i="13"/>
  <c r="K28" i="13"/>
  <c r="O36" i="13"/>
  <c r="P31" i="13"/>
  <c r="O28" i="13"/>
  <c r="P37" i="13"/>
  <c r="O37" i="13" s="1"/>
  <c r="O32" i="13"/>
  <c r="P29" i="13"/>
  <c r="O29" i="13" s="1"/>
  <c r="O24" i="13"/>
  <c r="P38" i="13"/>
  <c r="P27" i="13"/>
  <c r="O27" i="13" s="1"/>
  <c r="K33" i="13"/>
  <c r="K25" i="13"/>
  <c r="P85" i="23"/>
  <c r="P65" i="23"/>
  <c r="P61" i="23"/>
  <c r="P87" i="23"/>
  <c r="P83" i="23"/>
  <c r="P79" i="23"/>
  <c r="P75" i="23"/>
  <c r="P59" i="23"/>
  <c r="P60" i="23"/>
  <c r="P86" i="23"/>
  <c r="P82" i="23"/>
  <c r="P78" i="23"/>
  <c r="P74" i="23"/>
  <c r="P63" i="23"/>
  <c r="P72" i="23"/>
  <c r="P62" i="23"/>
  <c r="P64" i="23"/>
  <c r="P66" i="23"/>
  <c r="AA9" i="40"/>
  <c r="X11" i="40"/>
  <c r="T9" i="40"/>
  <c r="S9" i="40"/>
  <c r="P11" i="40"/>
  <c r="H30" i="40"/>
  <c r="L22" i="40"/>
  <c r="K22" i="40"/>
  <c r="T23" i="40"/>
  <c r="S23" i="40"/>
  <c r="O26" i="40"/>
  <c r="P26" i="40"/>
  <c r="K62" i="40"/>
  <c r="L62" i="40"/>
  <c r="AB13" i="40"/>
  <c r="AB96" i="40" s="1"/>
  <c r="L13" i="40"/>
  <c r="AB15" i="40"/>
  <c r="T21" i="40"/>
  <c r="S21" i="40"/>
  <c r="W27" i="40"/>
  <c r="X27" i="40"/>
  <c r="H13" i="40"/>
  <c r="H15" i="40" s="1"/>
  <c r="K15" i="40" s="1"/>
  <c r="K11" i="40"/>
  <c r="W25" i="40"/>
  <c r="X25" i="40"/>
  <c r="S34" i="40"/>
  <c r="T34" i="40"/>
  <c r="O11" i="40"/>
  <c r="L15" i="40"/>
  <c r="O15" i="40" s="1"/>
  <c r="L24" i="40"/>
  <c r="K24" i="40"/>
  <c r="O28" i="40"/>
  <c r="P28" i="40"/>
  <c r="S36" i="40"/>
  <c r="T36" i="40"/>
  <c r="H66" i="40"/>
  <c r="L60" i="40"/>
  <c r="K60" i="40"/>
  <c r="L48" i="40"/>
  <c r="K48" i="40"/>
  <c r="S38" i="40"/>
  <c r="T38" i="40"/>
  <c r="O10" i="40"/>
  <c r="S25" i="40"/>
  <c r="K26" i="40"/>
  <c r="S27" i="40"/>
  <c r="K28" i="40"/>
  <c r="L33" i="40"/>
  <c r="O34" i="40"/>
  <c r="L35" i="40"/>
  <c r="O36" i="40"/>
  <c r="L37" i="40"/>
  <c r="O38" i="40"/>
  <c r="L39" i="40"/>
  <c r="H41" i="40"/>
  <c r="P51" i="40"/>
  <c r="P52" i="40"/>
  <c r="S59" i="40"/>
  <c r="O75" i="40"/>
  <c r="L76" i="40"/>
  <c r="K76" i="40"/>
  <c r="P61" i="40"/>
  <c r="K64" i="40"/>
  <c r="L64" i="40"/>
  <c r="P73" i="40"/>
  <c r="L74" i="40"/>
  <c r="K74" i="40"/>
  <c r="S65" i="40"/>
  <c r="T65" i="40"/>
  <c r="L72" i="40"/>
  <c r="K72" i="40"/>
  <c r="L80" i="40"/>
  <c r="K80" i="40"/>
  <c r="G41" i="40"/>
  <c r="L70" i="40"/>
  <c r="K70" i="40"/>
  <c r="L78" i="40"/>
  <c r="K78" i="40"/>
  <c r="O65" i="40"/>
  <c r="L69" i="40"/>
  <c r="K71" i="40"/>
  <c r="K73" i="40"/>
  <c r="K75" i="40"/>
  <c r="K77" i="40"/>
  <c r="K79" i="40"/>
  <c r="D82" i="40"/>
  <c r="D13" i="39"/>
  <c r="D96" i="39" s="1"/>
  <c r="L11" i="39"/>
  <c r="L13" i="39" s="1"/>
  <c r="L96" i="39" s="1"/>
  <c r="S23" i="39"/>
  <c r="T23" i="39"/>
  <c r="AA9" i="39"/>
  <c r="X11" i="39"/>
  <c r="S25" i="39"/>
  <c r="T25" i="39"/>
  <c r="H13" i="39"/>
  <c r="X27" i="39"/>
  <c r="W27" i="39"/>
  <c r="P24" i="39"/>
  <c r="O24" i="39"/>
  <c r="W34" i="39"/>
  <c r="X34" i="39"/>
  <c r="O39" i="39"/>
  <c r="P39" i="39"/>
  <c r="O23" i="39"/>
  <c r="O27" i="39"/>
  <c r="O37" i="39"/>
  <c r="P37" i="39"/>
  <c r="K48" i="39"/>
  <c r="L48" i="39"/>
  <c r="K30" i="39"/>
  <c r="H44" i="39"/>
  <c r="O25" i="39"/>
  <c r="H50" i="39"/>
  <c r="K50" i="39" s="1"/>
  <c r="H47" i="39"/>
  <c r="K47" i="39" s="1"/>
  <c r="K41" i="39"/>
  <c r="H45" i="39"/>
  <c r="K45" i="39" s="1"/>
  <c r="H49" i="39"/>
  <c r="K49" i="39" s="1"/>
  <c r="H46" i="39"/>
  <c r="K46" i="39" s="1"/>
  <c r="P9" i="39"/>
  <c r="O9" i="39" s="1"/>
  <c r="K9" i="39"/>
  <c r="G11" i="39"/>
  <c r="L22" i="39"/>
  <c r="L26" i="39"/>
  <c r="P28" i="39"/>
  <c r="O28" i="39"/>
  <c r="O35" i="39"/>
  <c r="P35" i="39"/>
  <c r="W38" i="39"/>
  <c r="X38" i="39"/>
  <c r="T51" i="39"/>
  <c r="S51" i="39"/>
  <c r="T52" i="39"/>
  <c r="S52" i="39"/>
  <c r="W36" i="39"/>
  <c r="X36" i="39"/>
  <c r="L21" i="39"/>
  <c r="K33" i="39"/>
  <c r="S34" i="39"/>
  <c r="K35" i="39"/>
  <c r="S36" i="39"/>
  <c r="K37" i="39"/>
  <c r="S38" i="39"/>
  <c r="K39" i="39"/>
  <c r="O51" i="39"/>
  <c r="O52" i="39"/>
  <c r="D55" i="39"/>
  <c r="G55" i="39" s="1"/>
  <c r="G53" i="39"/>
  <c r="P63" i="39"/>
  <c r="K64" i="39"/>
  <c r="L64" i="39"/>
  <c r="L73" i="39"/>
  <c r="K73" i="39"/>
  <c r="L77" i="39"/>
  <c r="K77" i="39"/>
  <c r="L33" i="39"/>
  <c r="P61" i="39"/>
  <c r="O61" i="39"/>
  <c r="K62" i="39"/>
  <c r="L62" i="39"/>
  <c r="L72" i="39"/>
  <c r="K72" i="39"/>
  <c r="L76" i="39"/>
  <c r="K76" i="39"/>
  <c r="L80" i="39"/>
  <c r="K80" i="39"/>
  <c r="P81" i="39"/>
  <c r="O81" i="39"/>
  <c r="L71" i="39"/>
  <c r="K71" i="39"/>
  <c r="L75" i="39"/>
  <c r="K75" i="39"/>
  <c r="L79" i="39"/>
  <c r="K79" i="39"/>
  <c r="H66" i="39"/>
  <c r="K59" i="39"/>
  <c r="P65" i="39"/>
  <c r="O65" i="39"/>
  <c r="L70" i="39"/>
  <c r="K70" i="39"/>
  <c r="L74" i="39"/>
  <c r="K74" i="39"/>
  <c r="L78" i="39"/>
  <c r="K78" i="39"/>
  <c r="D85" i="39"/>
  <c r="G82" i="39"/>
  <c r="D95" i="39"/>
  <c r="L69" i="39"/>
  <c r="K61" i="39"/>
  <c r="K63" i="39"/>
  <c r="K65" i="39"/>
  <c r="G69" i="39"/>
  <c r="K81" i="39"/>
  <c r="F6" i="37"/>
  <c r="G22" i="37"/>
  <c r="G1" i="37"/>
  <c r="G57" i="37" s="1"/>
  <c r="D51" i="23"/>
  <c r="D37" i="23"/>
  <c r="D36" i="23"/>
  <c r="D61" i="13"/>
  <c r="G61" i="13" s="1"/>
  <c r="D60" i="13"/>
  <c r="G60" i="13" s="1"/>
  <c r="D59" i="13"/>
  <c r="G59" i="13" s="1"/>
  <c r="D58" i="13"/>
  <c r="G58" i="13" s="1"/>
  <c r="D57" i="13"/>
  <c r="G57" i="13" s="1"/>
  <c r="D56" i="13"/>
  <c r="G56" i="13" s="1"/>
  <c r="D55" i="13"/>
  <c r="G55" i="13" s="1"/>
  <c r="D54" i="13"/>
  <c r="G54" i="13" s="1"/>
  <c r="D48" i="13"/>
  <c r="G48" i="13" s="1"/>
  <c r="D47" i="13"/>
  <c r="G47" i="13" s="1"/>
  <c r="D43" i="13"/>
  <c r="G43" i="13" s="1"/>
  <c r="U30" i="13"/>
  <c r="Y30" i="13"/>
  <c r="AC30" i="13"/>
  <c r="U32" i="13"/>
  <c r="Y32" i="13"/>
  <c r="AC32" i="13"/>
  <c r="D40" i="13"/>
  <c r="D50" i="11"/>
  <c r="D49" i="11"/>
  <c r="D47" i="11"/>
  <c r="D50" i="6"/>
  <c r="D74" i="32"/>
  <c r="D35" i="32"/>
  <c r="D36" i="32"/>
  <c r="H65" i="30"/>
  <c r="G65" i="30" s="1"/>
  <c r="U65" i="30"/>
  <c r="Y65" i="30"/>
  <c r="AC65" i="30"/>
  <c r="H66" i="30"/>
  <c r="G66" i="30" s="1"/>
  <c r="U66" i="30"/>
  <c r="Y66" i="30"/>
  <c r="AC66" i="30"/>
  <c r="O79" i="40" l="1"/>
  <c r="P77" i="40"/>
  <c r="S77" i="40" s="1"/>
  <c r="L81" i="40"/>
  <c r="L82" i="40" s="1"/>
  <c r="H82" i="40"/>
  <c r="O71" i="40"/>
  <c r="O63" i="40"/>
  <c r="O60" i="39"/>
  <c r="P60" i="39"/>
  <c r="G40" i="13"/>
  <c r="P69" i="40"/>
  <c r="O69" i="40"/>
  <c r="T79" i="40"/>
  <c r="S79" i="40"/>
  <c r="P76" i="40"/>
  <c r="O76" i="40"/>
  <c r="T51" i="40"/>
  <c r="S51" i="40"/>
  <c r="D85" i="40"/>
  <c r="G82" i="40"/>
  <c r="D95" i="40"/>
  <c r="D97" i="40" s="1"/>
  <c r="X65" i="40"/>
  <c r="W65" i="40"/>
  <c r="P74" i="40"/>
  <c r="O74" i="40"/>
  <c r="P39" i="40"/>
  <c r="O39" i="40"/>
  <c r="P48" i="40"/>
  <c r="O48" i="40"/>
  <c r="X36" i="40"/>
  <c r="W36" i="40"/>
  <c r="W23" i="40"/>
  <c r="X23" i="40"/>
  <c r="P78" i="40"/>
  <c r="O78" i="40"/>
  <c r="P70" i="40"/>
  <c r="O70" i="40"/>
  <c r="P80" i="40"/>
  <c r="O80" i="40"/>
  <c r="P72" i="40"/>
  <c r="O72" i="40"/>
  <c r="T73" i="40"/>
  <c r="S73" i="40"/>
  <c r="T61" i="40"/>
  <c r="S61" i="40"/>
  <c r="S52" i="40"/>
  <c r="T52" i="40"/>
  <c r="X38" i="40"/>
  <c r="W38" i="40"/>
  <c r="O24" i="40"/>
  <c r="P24" i="40"/>
  <c r="AB27" i="40"/>
  <c r="AA27" i="40"/>
  <c r="T26" i="40"/>
  <c r="S26" i="40"/>
  <c r="L66" i="40"/>
  <c r="O66" i="40" s="1"/>
  <c r="P60" i="40"/>
  <c r="O60" i="40"/>
  <c r="T28" i="40"/>
  <c r="S28" i="40"/>
  <c r="O22" i="40"/>
  <c r="P22" i="40"/>
  <c r="T11" i="40"/>
  <c r="W9" i="40"/>
  <c r="S63" i="40"/>
  <c r="T63" i="40"/>
  <c r="P37" i="40"/>
  <c r="O37" i="40"/>
  <c r="P33" i="40"/>
  <c r="L41" i="40"/>
  <c r="O33" i="40"/>
  <c r="AB25" i="40"/>
  <c r="AA25" i="40"/>
  <c r="K82" i="40"/>
  <c r="P64" i="40"/>
  <c r="O64" i="40"/>
  <c r="T75" i="40"/>
  <c r="S75" i="40"/>
  <c r="H49" i="40"/>
  <c r="K49" i="40" s="1"/>
  <c r="H46" i="40"/>
  <c r="K46" i="40" s="1"/>
  <c r="H50" i="40"/>
  <c r="K50" i="40" s="1"/>
  <c r="H47" i="40"/>
  <c r="K47" i="40" s="1"/>
  <c r="K41" i="40"/>
  <c r="H45" i="40"/>
  <c r="K45" i="40" s="1"/>
  <c r="H96" i="40"/>
  <c r="K13" i="40"/>
  <c r="L96" i="40"/>
  <c r="O13" i="40"/>
  <c r="P62" i="40"/>
  <c r="O62" i="40"/>
  <c r="K30" i="40"/>
  <c r="H44" i="40"/>
  <c r="X13" i="40"/>
  <c r="AA11" i="40"/>
  <c r="T71" i="40"/>
  <c r="S71" i="40"/>
  <c r="P81" i="40"/>
  <c r="P35" i="40"/>
  <c r="O35" i="40"/>
  <c r="X34" i="40"/>
  <c r="W34" i="40"/>
  <c r="L30" i="40"/>
  <c r="W21" i="40"/>
  <c r="X21" i="40"/>
  <c r="P13" i="40"/>
  <c r="S11" i="40"/>
  <c r="D97" i="39"/>
  <c r="D98" i="39" s="1"/>
  <c r="K11" i="39"/>
  <c r="O13" i="39"/>
  <c r="G13" i="39"/>
  <c r="AB13" i="39" s="1"/>
  <c r="AB96" i="39" s="1"/>
  <c r="D15" i="39"/>
  <c r="L15" i="39"/>
  <c r="G66" i="39"/>
  <c r="O77" i="39"/>
  <c r="P77" i="39"/>
  <c r="P78" i="39"/>
  <c r="O78" i="39"/>
  <c r="P70" i="39"/>
  <c r="O70" i="39"/>
  <c r="O79" i="39"/>
  <c r="P79" i="39"/>
  <c r="O71" i="39"/>
  <c r="P71" i="39"/>
  <c r="P80" i="39"/>
  <c r="O80" i="39"/>
  <c r="P72" i="39"/>
  <c r="O72" i="39"/>
  <c r="S61" i="39"/>
  <c r="T61" i="39"/>
  <c r="AB36" i="39"/>
  <c r="AA36" i="39"/>
  <c r="T35" i="39"/>
  <c r="S35" i="39"/>
  <c r="P26" i="39"/>
  <c r="O26" i="39"/>
  <c r="T9" i="39"/>
  <c r="S9" i="39" s="1"/>
  <c r="P11" i="39"/>
  <c r="T39" i="39"/>
  <c r="S39" i="39"/>
  <c r="AA27" i="39"/>
  <c r="AB27" i="39"/>
  <c r="X15" i="39"/>
  <c r="AA15" i="39" s="1"/>
  <c r="X13" i="39"/>
  <c r="AA11" i="39"/>
  <c r="O75" i="39"/>
  <c r="P75" i="39"/>
  <c r="K69" i="39"/>
  <c r="P69" i="39"/>
  <c r="O69" i="39"/>
  <c r="L82" i="39"/>
  <c r="S65" i="39"/>
  <c r="T65" i="39"/>
  <c r="L66" i="39"/>
  <c r="P59" i="39"/>
  <c r="O59" i="39"/>
  <c r="P62" i="39"/>
  <c r="O62" i="39"/>
  <c r="L41" i="39"/>
  <c r="O33" i="39"/>
  <c r="P33" i="39"/>
  <c r="O73" i="39"/>
  <c r="P73" i="39"/>
  <c r="S63" i="39"/>
  <c r="T63" i="39"/>
  <c r="L30" i="39"/>
  <c r="O21" i="39"/>
  <c r="P21" i="39"/>
  <c r="X51" i="39"/>
  <c r="W51" i="39"/>
  <c r="P22" i="39"/>
  <c r="O22" i="39"/>
  <c r="H53" i="39"/>
  <c r="K44" i="39"/>
  <c r="T37" i="39"/>
  <c r="S37" i="39"/>
  <c r="T24" i="39"/>
  <c r="S24" i="39"/>
  <c r="X25" i="39"/>
  <c r="W25" i="39"/>
  <c r="P74" i="39"/>
  <c r="O74" i="39"/>
  <c r="S81" i="39"/>
  <c r="T81" i="39"/>
  <c r="P76" i="39"/>
  <c r="O76" i="39"/>
  <c r="P64" i="39"/>
  <c r="O64" i="39"/>
  <c r="AB38" i="39"/>
  <c r="AA38" i="39"/>
  <c r="AB34" i="39"/>
  <c r="AA34" i="39"/>
  <c r="H96" i="39"/>
  <c r="K13" i="39"/>
  <c r="X23" i="39"/>
  <c r="W23" i="39"/>
  <c r="X52" i="39"/>
  <c r="W52" i="39"/>
  <c r="S28" i="39"/>
  <c r="T28" i="39"/>
  <c r="P48" i="39"/>
  <c r="O48" i="39"/>
  <c r="D87" i="39"/>
  <c r="H15" i="39"/>
  <c r="G54" i="37"/>
  <c r="G65" i="37"/>
  <c r="G17" i="37"/>
  <c r="G25" i="37"/>
  <c r="G33" i="37"/>
  <c r="G41" i="37"/>
  <c r="G9" i="37"/>
  <c r="G49" i="37"/>
  <c r="H40" i="13"/>
  <c r="L66" i="30"/>
  <c r="L65" i="30"/>
  <c r="D84" i="30"/>
  <c r="D77" i="30"/>
  <c r="D75" i="30"/>
  <c r="D55" i="30"/>
  <c r="D53" i="30"/>
  <c r="D52" i="30"/>
  <c r="D51" i="30"/>
  <c r="D50" i="30"/>
  <c r="D49" i="30"/>
  <c r="D48" i="30"/>
  <c r="D46" i="30"/>
  <c r="D38" i="30"/>
  <c r="D37" i="30"/>
  <c r="D36" i="30"/>
  <c r="D35" i="30"/>
  <c r="D49" i="34"/>
  <c r="D48" i="34"/>
  <c r="H15" i="21"/>
  <c r="D147" i="31"/>
  <c r="K136" i="31"/>
  <c r="G136" i="31"/>
  <c r="D107" i="31"/>
  <c r="T77" i="40" l="1"/>
  <c r="W77" i="40" s="1"/>
  <c r="O81" i="40"/>
  <c r="T60" i="39"/>
  <c r="S60" i="39"/>
  <c r="K66" i="40"/>
  <c r="X96" i="40"/>
  <c r="AA13" i="40"/>
  <c r="T33" i="40"/>
  <c r="S33" i="40"/>
  <c r="P41" i="40"/>
  <c r="T13" i="40"/>
  <c r="W11" i="40"/>
  <c r="X52" i="40"/>
  <c r="W52" i="40"/>
  <c r="AB21" i="40"/>
  <c r="AA21" i="40"/>
  <c r="H53" i="40"/>
  <c r="K44" i="40"/>
  <c r="X75" i="40"/>
  <c r="W75" i="40"/>
  <c r="T37" i="40"/>
  <c r="S37" i="40"/>
  <c r="X77" i="40"/>
  <c r="T60" i="40"/>
  <c r="S60" i="40"/>
  <c r="P66" i="40"/>
  <c r="S66" i="40" s="1"/>
  <c r="AB23" i="40"/>
  <c r="AA23" i="40"/>
  <c r="W51" i="40"/>
  <c r="X51" i="40"/>
  <c r="X79" i="40"/>
  <c r="W79" i="40"/>
  <c r="P96" i="40"/>
  <c r="S13" i="40"/>
  <c r="P15" i="40"/>
  <c r="S15" i="40" s="1"/>
  <c r="AB34" i="40"/>
  <c r="AA34" i="40"/>
  <c r="S81" i="40"/>
  <c r="T81" i="40"/>
  <c r="X15" i="40"/>
  <c r="AA15" i="40" s="1"/>
  <c r="L45" i="40"/>
  <c r="O45" i="40" s="1"/>
  <c r="O41" i="40"/>
  <c r="L49" i="40"/>
  <c r="O49" i="40" s="1"/>
  <c r="L46" i="40"/>
  <c r="O46" i="40" s="1"/>
  <c r="L50" i="40"/>
  <c r="O50" i="40" s="1"/>
  <c r="L47" i="40"/>
  <c r="O47" i="40" s="1"/>
  <c r="X63" i="40"/>
  <c r="W63" i="40"/>
  <c r="AB38" i="40"/>
  <c r="AA38" i="40"/>
  <c r="X61" i="40"/>
  <c r="W61" i="40"/>
  <c r="T72" i="40"/>
  <c r="S72" i="40"/>
  <c r="T70" i="40"/>
  <c r="S70" i="40"/>
  <c r="T48" i="40"/>
  <c r="S48" i="40"/>
  <c r="T74" i="40"/>
  <c r="S74" i="40"/>
  <c r="O82" i="40"/>
  <c r="G85" i="40"/>
  <c r="D98" i="40"/>
  <c r="D87" i="40"/>
  <c r="T76" i="40"/>
  <c r="S76" i="40"/>
  <c r="T64" i="40"/>
  <c r="S64" i="40"/>
  <c r="X28" i="40"/>
  <c r="W28" i="40"/>
  <c r="T24" i="40"/>
  <c r="S24" i="40"/>
  <c r="L44" i="40"/>
  <c r="O30" i="40"/>
  <c r="T35" i="40"/>
  <c r="S35" i="40"/>
  <c r="X71" i="40"/>
  <c r="W71" i="40"/>
  <c r="S62" i="40"/>
  <c r="T62" i="40"/>
  <c r="T22" i="40"/>
  <c r="S22" i="40"/>
  <c r="P30" i="40"/>
  <c r="X26" i="40"/>
  <c r="W26" i="40"/>
  <c r="X73" i="40"/>
  <c r="W73" i="40"/>
  <c r="T80" i="40"/>
  <c r="S80" i="40"/>
  <c r="T78" i="40"/>
  <c r="S78" i="40"/>
  <c r="AB36" i="40"/>
  <c r="AA36" i="40"/>
  <c r="T39" i="40"/>
  <c r="S39" i="40"/>
  <c r="AB65" i="40"/>
  <c r="AA65" i="40"/>
  <c r="S69" i="40"/>
  <c r="P82" i="40"/>
  <c r="T69" i="40"/>
  <c r="AB15" i="39"/>
  <c r="X28" i="39"/>
  <c r="W28" i="39"/>
  <c r="X81" i="39"/>
  <c r="W81" i="39"/>
  <c r="K53" i="39"/>
  <c r="H55" i="39"/>
  <c r="AB51" i="39"/>
  <c r="AA51" i="39"/>
  <c r="D89" i="39"/>
  <c r="T48" i="39"/>
  <c r="S48" i="39"/>
  <c r="AB52" i="39"/>
  <c r="AA52" i="39"/>
  <c r="T76" i="39"/>
  <c r="S76" i="39"/>
  <c r="T74" i="39"/>
  <c r="S74" i="39"/>
  <c r="X24" i="39"/>
  <c r="W24" i="39"/>
  <c r="L44" i="39"/>
  <c r="O30" i="39"/>
  <c r="O66" i="39"/>
  <c r="X96" i="39"/>
  <c r="AA13" i="39"/>
  <c r="T11" i="39"/>
  <c r="S11" i="39" s="1"/>
  <c r="W9" i="39"/>
  <c r="X61" i="39"/>
  <c r="W61" i="39"/>
  <c r="T79" i="39"/>
  <c r="S79" i="39"/>
  <c r="K15" i="39"/>
  <c r="G15" i="39"/>
  <c r="T33" i="39"/>
  <c r="S33" i="39"/>
  <c r="P41" i="39"/>
  <c r="X65" i="39"/>
  <c r="W65" i="39"/>
  <c r="K82" i="39"/>
  <c r="X35" i="39"/>
  <c r="W35" i="39"/>
  <c r="T80" i="39"/>
  <c r="S80" i="39"/>
  <c r="T78" i="39"/>
  <c r="S78" i="39"/>
  <c r="X63" i="39"/>
  <c r="W63" i="39"/>
  <c r="T62" i="39"/>
  <c r="S62" i="39"/>
  <c r="T75" i="39"/>
  <c r="S75" i="39"/>
  <c r="AB23" i="39"/>
  <c r="AA23" i="39"/>
  <c r="T64" i="39"/>
  <c r="S64" i="39"/>
  <c r="AB25" i="39"/>
  <c r="AA25" i="39"/>
  <c r="P30" i="39"/>
  <c r="S21" i="39"/>
  <c r="T21" i="39"/>
  <c r="X39" i="39"/>
  <c r="W39" i="39"/>
  <c r="T71" i="39"/>
  <c r="S71" i="39"/>
  <c r="T77" i="39"/>
  <c r="S77" i="39"/>
  <c r="X37" i="39"/>
  <c r="W37" i="39"/>
  <c r="T22" i="39"/>
  <c r="S22" i="39"/>
  <c r="T73" i="39"/>
  <c r="S73" i="39"/>
  <c r="L49" i="39"/>
  <c r="O49" i="39" s="1"/>
  <c r="L46" i="39"/>
  <c r="O46" i="39" s="1"/>
  <c r="L50" i="39"/>
  <c r="O50" i="39" s="1"/>
  <c r="L47" i="39"/>
  <c r="O47" i="39" s="1"/>
  <c r="L45" i="39"/>
  <c r="O45" i="39" s="1"/>
  <c r="O41" i="39"/>
  <c r="P66" i="39"/>
  <c r="T59" i="39"/>
  <c r="S59" i="39"/>
  <c r="H95" i="39"/>
  <c r="H97" i="39" s="1"/>
  <c r="P82" i="39"/>
  <c r="T69" i="39"/>
  <c r="S69" i="39" s="1"/>
  <c r="P13" i="39"/>
  <c r="P15" i="39" s="1"/>
  <c r="O11" i="39"/>
  <c r="T26" i="39"/>
  <c r="S26" i="39"/>
  <c r="T72" i="39"/>
  <c r="S72" i="39"/>
  <c r="T70" i="39"/>
  <c r="S70" i="39"/>
  <c r="K66" i="39"/>
  <c r="O65" i="30"/>
  <c r="P65" i="30"/>
  <c r="P66" i="30"/>
  <c r="K66" i="30"/>
  <c r="K65" i="30"/>
  <c r="D79" i="31"/>
  <c r="D90" i="31"/>
  <c r="D86" i="31"/>
  <c r="Q57" i="31"/>
  <c r="Q58" i="31"/>
  <c r="Q59" i="31"/>
  <c r="O63" i="31"/>
  <c r="L57" i="31"/>
  <c r="P57" i="31" s="1"/>
  <c r="L58" i="31"/>
  <c r="L59" i="31"/>
  <c r="L61" i="31"/>
  <c r="P61" i="31" s="1"/>
  <c r="M57" i="31"/>
  <c r="K58" i="31"/>
  <c r="M58" i="31"/>
  <c r="M59" i="31"/>
  <c r="K62" i="31"/>
  <c r="G58" i="31"/>
  <c r="G59" i="31"/>
  <c r="G60" i="31"/>
  <c r="G61" i="31"/>
  <c r="G62" i="31"/>
  <c r="G57" i="31"/>
  <c r="D64" i="31"/>
  <c r="K60" i="31" l="1"/>
  <c r="K59" i="31"/>
  <c r="K57" i="31"/>
  <c r="W60" i="39"/>
  <c r="X60" i="39"/>
  <c r="W22" i="40"/>
  <c r="X22" i="40"/>
  <c r="T30" i="40"/>
  <c r="W74" i="40"/>
  <c r="X74" i="40"/>
  <c r="X62" i="40"/>
  <c r="W62" i="40"/>
  <c r="S82" i="40"/>
  <c r="P44" i="40"/>
  <c r="S30" i="40"/>
  <c r="X35" i="40"/>
  <c r="W35" i="40"/>
  <c r="W24" i="40"/>
  <c r="X24" i="40"/>
  <c r="X64" i="40"/>
  <c r="W64" i="40"/>
  <c r="W48" i="40"/>
  <c r="X48" i="40"/>
  <c r="W72" i="40"/>
  <c r="X72" i="40"/>
  <c r="AB71" i="40"/>
  <c r="AA71" i="40"/>
  <c r="X39" i="40"/>
  <c r="W39" i="40"/>
  <c r="W78" i="40"/>
  <c r="X78" i="40"/>
  <c r="AB73" i="40"/>
  <c r="AA73" i="40"/>
  <c r="W60" i="40"/>
  <c r="X60" i="40"/>
  <c r="T66" i="40"/>
  <c r="W66" i="40" s="1"/>
  <c r="X37" i="40"/>
  <c r="W37" i="40"/>
  <c r="K53" i="40"/>
  <c r="H55" i="40"/>
  <c r="H95" i="40"/>
  <c r="H97" i="40" s="1"/>
  <c r="T96" i="40"/>
  <c r="W13" i="40"/>
  <c r="T41" i="40"/>
  <c r="X33" i="40"/>
  <c r="W33" i="40"/>
  <c r="AB28" i="40"/>
  <c r="AA28" i="40"/>
  <c r="W76" i="40"/>
  <c r="X76" i="40"/>
  <c r="W70" i="40"/>
  <c r="X70" i="40"/>
  <c r="AB61" i="40"/>
  <c r="AA61" i="40"/>
  <c r="AA63" i="40"/>
  <c r="AB63" i="40"/>
  <c r="X81" i="40"/>
  <c r="W81" i="40"/>
  <c r="AB79" i="40"/>
  <c r="AA79" i="40"/>
  <c r="AA52" i="40"/>
  <c r="AB52" i="40"/>
  <c r="O44" i="40"/>
  <c r="L53" i="40"/>
  <c r="X69" i="40"/>
  <c r="W69" i="40"/>
  <c r="T82" i="40"/>
  <c r="W80" i="40"/>
  <c r="X80" i="40"/>
  <c r="AB26" i="40"/>
  <c r="AA26" i="40"/>
  <c r="D89" i="40"/>
  <c r="G87" i="40"/>
  <c r="AB51" i="40"/>
  <c r="AA51" i="40"/>
  <c r="AB77" i="40"/>
  <c r="AA77" i="40"/>
  <c r="AB75" i="40"/>
  <c r="AA75" i="40"/>
  <c r="T15" i="40"/>
  <c r="W15" i="40" s="1"/>
  <c r="P45" i="40"/>
  <c r="S45" i="40" s="1"/>
  <c r="P49" i="40"/>
  <c r="S49" i="40" s="1"/>
  <c r="P46" i="40"/>
  <c r="S46" i="40" s="1"/>
  <c r="S41" i="40"/>
  <c r="P50" i="40"/>
  <c r="S50" i="40" s="1"/>
  <c r="P47" i="40"/>
  <c r="S47" i="40" s="1"/>
  <c r="S30" i="39"/>
  <c r="P44" i="39"/>
  <c r="X75" i="39"/>
  <c r="W75" i="39"/>
  <c r="W78" i="39"/>
  <c r="X78" i="39"/>
  <c r="W76" i="39"/>
  <c r="X76" i="39"/>
  <c r="W72" i="39"/>
  <c r="X72" i="39"/>
  <c r="W70" i="39"/>
  <c r="X70" i="39"/>
  <c r="X26" i="39"/>
  <c r="W26" i="39"/>
  <c r="O15" i="39"/>
  <c r="X73" i="39"/>
  <c r="W73" i="39"/>
  <c r="AB37" i="39"/>
  <c r="AA37" i="39"/>
  <c r="X71" i="39"/>
  <c r="W71" i="39"/>
  <c r="P45" i="39"/>
  <c r="S45" i="39" s="1"/>
  <c r="P49" i="39"/>
  <c r="S49" i="39" s="1"/>
  <c r="P46" i="39"/>
  <c r="S46" i="39" s="1"/>
  <c r="S41" i="39"/>
  <c r="P50" i="39"/>
  <c r="S50" i="39" s="1"/>
  <c r="P47" i="39"/>
  <c r="S47" i="39" s="1"/>
  <c r="AB61" i="39"/>
  <c r="AA61" i="39"/>
  <c r="X64" i="39"/>
  <c r="W64" i="39"/>
  <c r="AB63" i="39"/>
  <c r="AA63" i="39"/>
  <c r="AB35" i="39"/>
  <c r="AA35" i="39"/>
  <c r="AA24" i="39"/>
  <c r="AB24" i="39"/>
  <c r="X48" i="39"/>
  <c r="W48" i="39"/>
  <c r="AB81" i="39"/>
  <c r="AA81" i="39"/>
  <c r="X69" i="39"/>
  <c r="T82" i="39"/>
  <c r="W22" i="39"/>
  <c r="X22" i="39"/>
  <c r="X77" i="39"/>
  <c r="W77" i="39"/>
  <c r="AB39" i="39"/>
  <c r="AA39" i="39"/>
  <c r="T41" i="39"/>
  <c r="X33" i="39"/>
  <c r="W33" i="39"/>
  <c r="X79" i="39"/>
  <c r="W79" i="39"/>
  <c r="T15" i="39"/>
  <c r="W15" i="39" s="1"/>
  <c r="W11" i="39"/>
  <c r="T13" i="39"/>
  <c r="K55" i="39"/>
  <c r="H85" i="39"/>
  <c r="P96" i="39"/>
  <c r="S13" i="39"/>
  <c r="S82" i="39"/>
  <c r="T66" i="39"/>
  <c r="X59" i="39"/>
  <c r="W59" i="39" s="1"/>
  <c r="X21" i="39"/>
  <c r="T30" i="39"/>
  <c r="W21" i="39"/>
  <c r="X62" i="39"/>
  <c r="W62" i="39"/>
  <c r="W80" i="39"/>
  <c r="X80" i="39"/>
  <c r="O82" i="39"/>
  <c r="AB65" i="39"/>
  <c r="AA65" i="39"/>
  <c r="L53" i="39"/>
  <c r="O44" i="39"/>
  <c r="W74" i="39"/>
  <c r="X74" i="39"/>
  <c r="H7" i="39"/>
  <c r="AB28" i="39"/>
  <c r="AA28" i="39"/>
  <c r="T30" i="13"/>
  <c r="S30" i="13" s="1"/>
  <c r="T32" i="13"/>
  <c r="S32" i="13" s="1"/>
  <c r="T66" i="30"/>
  <c r="S66" i="30"/>
  <c r="O66" i="30"/>
  <c r="T65" i="30"/>
  <c r="S65" i="30"/>
  <c r="O62" i="31"/>
  <c r="P58" i="31"/>
  <c r="O58" i="31" s="1"/>
  <c r="O57" i="31"/>
  <c r="P59" i="31"/>
  <c r="O59" i="31" s="1"/>
  <c r="O60" i="31"/>
  <c r="H50" i="3"/>
  <c r="H49" i="3"/>
  <c r="H47" i="3"/>
  <c r="H44" i="3"/>
  <c r="H28" i="3"/>
  <c r="H13" i="7"/>
  <c r="AA60" i="39" l="1"/>
  <c r="AB60" i="39"/>
  <c r="AB80" i="40"/>
  <c r="AA80" i="40"/>
  <c r="AB72" i="40"/>
  <c r="AA72" i="40"/>
  <c r="G89" i="40"/>
  <c r="H7" i="40"/>
  <c r="L55" i="40"/>
  <c r="O53" i="40"/>
  <c r="L95" i="40"/>
  <c r="L97" i="40" s="1"/>
  <c r="T50" i="40"/>
  <c r="W50" i="40" s="1"/>
  <c r="T47" i="40"/>
  <c r="W47" i="40" s="1"/>
  <c r="W41" i="40"/>
  <c r="T45" i="40"/>
  <c r="W45" i="40" s="1"/>
  <c r="T49" i="40"/>
  <c r="W49" i="40" s="1"/>
  <c r="T46" i="40"/>
  <c r="W46" i="40" s="1"/>
  <c r="W82" i="40"/>
  <c r="AB60" i="40"/>
  <c r="AA60" i="40"/>
  <c r="X66" i="40"/>
  <c r="AA66" i="40" s="1"/>
  <c r="AB78" i="40"/>
  <c r="AA78" i="40"/>
  <c r="AB48" i="40"/>
  <c r="AA48" i="40"/>
  <c r="AB24" i="40"/>
  <c r="AA24" i="40"/>
  <c r="AB76" i="40"/>
  <c r="AA76" i="40"/>
  <c r="P53" i="40"/>
  <c r="S44" i="40"/>
  <c r="T44" i="40"/>
  <c r="W30" i="40"/>
  <c r="AB81" i="40"/>
  <c r="AA81" i="40"/>
  <c r="AA37" i="40"/>
  <c r="AB37" i="40"/>
  <c r="AA62" i="40"/>
  <c r="AB62" i="40"/>
  <c r="AB22" i="40"/>
  <c r="AA22" i="40"/>
  <c r="X30" i="40"/>
  <c r="X82" i="40"/>
  <c r="AB69" i="40"/>
  <c r="AA69" i="40"/>
  <c r="AA33" i="40"/>
  <c r="X41" i="40"/>
  <c r="AB33" i="40"/>
  <c r="AB70" i="40"/>
  <c r="AA70" i="40"/>
  <c r="K55" i="40"/>
  <c r="H85" i="40"/>
  <c r="AA39" i="40"/>
  <c r="AB39" i="40"/>
  <c r="AA64" i="40"/>
  <c r="AB64" i="40"/>
  <c r="AA35" i="40"/>
  <c r="AB35" i="40"/>
  <c r="AB74" i="40"/>
  <c r="AA74" i="40"/>
  <c r="X30" i="39"/>
  <c r="AB21" i="39"/>
  <c r="AA21" i="39"/>
  <c r="AB79" i="39"/>
  <c r="AA79" i="39"/>
  <c r="AA22" i="39"/>
  <c r="AB22" i="39"/>
  <c r="X82" i="39"/>
  <c r="AB69" i="39"/>
  <c r="AA69" i="39"/>
  <c r="AA48" i="39"/>
  <c r="AB48" i="39"/>
  <c r="AA64" i="39"/>
  <c r="AB64" i="39"/>
  <c r="AB70" i="39"/>
  <c r="AA70" i="39"/>
  <c r="AB76" i="39"/>
  <c r="AA76" i="39"/>
  <c r="AA62" i="39"/>
  <c r="AB62" i="39"/>
  <c r="H98" i="39"/>
  <c r="H87" i="39"/>
  <c r="G85" i="39"/>
  <c r="S15" i="39"/>
  <c r="AB75" i="39"/>
  <c r="AA75" i="39"/>
  <c r="L55" i="39"/>
  <c r="O53" i="39"/>
  <c r="L95" i="39"/>
  <c r="L97" i="39" s="1"/>
  <c r="AB80" i="39"/>
  <c r="AA80" i="39"/>
  <c r="X66" i="39"/>
  <c r="AB59" i="39"/>
  <c r="X41" i="39"/>
  <c r="AB33" i="39"/>
  <c r="AB41" i="39" s="1"/>
  <c r="AA33" i="39"/>
  <c r="AB71" i="39"/>
  <c r="AA71" i="39"/>
  <c r="AB73" i="39"/>
  <c r="AA73" i="39"/>
  <c r="AB72" i="39"/>
  <c r="AA72" i="39"/>
  <c r="AB78" i="39"/>
  <c r="AA78" i="39"/>
  <c r="S44" i="39"/>
  <c r="P53" i="39"/>
  <c r="AB74" i="39"/>
  <c r="AA74" i="39"/>
  <c r="T44" i="39"/>
  <c r="W30" i="39"/>
  <c r="T96" i="39"/>
  <c r="W13" i="39"/>
  <c r="T45" i="39"/>
  <c r="W45" i="39" s="1"/>
  <c r="T49" i="39"/>
  <c r="W49" i="39" s="1"/>
  <c r="T46" i="39"/>
  <c r="W46" i="39" s="1"/>
  <c r="T50" i="39"/>
  <c r="W50" i="39" s="1"/>
  <c r="T47" i="39"/>
  <c r="W47" i="39" s="1"/>
  <c r="W41" i="39"/>
  <c r="AB77" i="39"/>
  <c r="AA77" i="39"/>
  <c r="W69" i="39"/>
  <c r="S66" i="39"/>
  <c r="AA26" i="39"/>
  <c r="AB26" i="39"/>
  <c r="X32" i="13"/>
  <c r="W32" i="13" s="1"/>
  <c r="X30" i="13"/>
  <c r="W30" i="13" s="1"/>
  <c r="X65" i="30"/>
  <c r="W66" i="30"/>
  <c r="X66" i="30"/>
  <c r="P9" i="15"/>
  <c r="L9" i="15"/>
  <c r="H13" i="14"/>
  <c r="H80" i="13"/>
  <c r="AB66" i="39" l="1"/>
  <c r="P55" i="40"/>
  <c r="S53" i="40"/>
  <c r="P95" i="40"/>
  <c r="P97" i="40" s="1"/>
  <c r="H98" i="40"/>
  <c r="H87" i="40"/>
  <c r="K87" i="40" s="1"/>
  <c r="AB41" i="40"/>
  <c r="AB82" i="40"/>
  <c r="AB30" i="40"/>
  <c r="T53" i="40"/>
  <c r="W44" i="40"/>
  <c r="X49" i="40"/>
  <c r="AA49" i="40" s="1"/>
  <c r="X46" i="40"/>
  <c r="AA46" i="40" s="1"/>
  <c r="X50" i="40"/>
  <c r="AA50" i="40" s="1"/>
  <c r="X47" i="40"/>
  <c r="AA47" i="40" s="1"/>
  <c r="AA41" i="40"/>
  <c r="X45" i="40"/>
  <c r="AA45" i="40" s="1"/>
  <c r="AA82" i="40"/>
  <c r="AB66" i="40"/>
  <c r="O55" i="40"/>
  <c r="L85" i="40"/>
  <c r="K85" i="40" s="1"/>
  <c r="AA30" i="40"/>
  <c r="AA59" i="39"/>
  <c r="G87" i="39"/>
  <c r="H89" i="39"/>
  <c r="G89" i="39" s="1"/>
  <c r="P55" i="39"/>
  <c r="S53" i="39"/>
  <c r="P95" i="39"/>
  <c r="P97" i="39" s="1"/>
  <c r="T53" i="39"/>
  <c r="W44" i="39"/>
  <c r="AB49" i="39"/>
  <c r="AB46" i="39"/>
  <c r="AB47" i="39"/>
  <c r="AB45" i="39"/>
  <c r="AA66" i="39"/>
  <c r="AB30" i="39"/>
  <c r="W66" i="39"/>
  <c r="W82" i="39"/>
  <c r="X50" i="39"/>
  <c r="AA50" i="39" s="1"/>
  <c r="X47" i="39"/>
  <c r="AA47" i="39" s="1"/>
  <c r="AA41" i="39"/>
  <c r="X45" i="39"/>
  <c r="AA45" i="39" s="1"/>
  <c r="X49" i="39"/>
  <c r="AA49" i="39" s="1"/>
  <c r="X46" i="39"/>
  <c r="AA46" i="39" s="1"/>
  <c r="O55" i="39"/>
  <c r="L85" i="39"/>
  <c r="AB82" i="39"/>
  <c r="AA30" i="39"/>
  <c r="AB30" i="13"/>
  <c r="AA30" i="13" s="1"/>
  <c r="AB32" i="13"/>
  <c r="AA32" i="13" s="1"/>
  <c r="AB65" i="30"/>
  <c r="AA65" i="30"/>
  <c r="W65" i="30"/>
  <c r="AB66" i="30"/>
  <c r="AA66" i="30"/>
  <c r="I48" i="3"/>
  <c r="H78" i="3"/>
  <c r="H77" i="3"/>
  <c r="H75" i="3"/>
  <c r="H72" i="3"/>
  <c r="H64" i="3"/>
  <c r="H63" i="3"/>
  <c r="H62" i="3"/>
  <c r="H89" i="40" l="1"/>
  <c r="T55" i="40"/>
  <c r="W53" i="40"/>
  <c r="T95" i="40"/>
  <c r="T97" i="40" s="1"/>
  <c r="S55" i="40"/>
  <c r="P85" i="40"/>
  <c r="L98" i="40"/>
  <c r="O85" i="40"/>
  <c r="L87" i="40"/>
  <c r="O87" i="40" s="1"/>
  <c r="AB45" i="40"/>
  <c r="AB49" i="40"/>
  <c r="AB46" i="40"/>
  <c r="AB50" i="40"/>
  <c r="AB47" i="40"/>
  <c r="L7" i="39"/>
  <c r="L98" i="39"/>
  <c r="L87" i="39"/>
  <c r="K85" i="39"/>
  <c r="T55" i="39"/>
  <c r="W53" i="39"/>
  <c r="T95" i="39"/>
  <c r="T97" i="39" s="1"/>
  <c r="AB50" i="39"/>
  <c r="AA82" i="39"/>
  <c r="S55" i="39"/>
  <c r="P85" i="39"/>
  <c r="O85" i="39" s="1"/>
  <c r="H48" i="3"/>
  <c r="I44" i="3"/>
  <c r="I45" i="3"/>
  <c r="D50" i="3"/>
  <c r="D49" i="3"/>
  <c r="D48" i="3"/>
  <c r="D47" i="3"/>
  <c r="D46" i="3"/>
  <c r="D44" i="3"/>
  <c r="E44" i="3"/>
  <c r="E13" i="38"/>
  <c r="K89" i="40" l="1"/>
  <c r="L7" i="40"/>
  <c r="L89" i="40" s="1"/>
  <c r="P7" i="40" s="1"/>
  <c r="P98" i="40"/>
  <c r="S85" i="40"/>
  <c r="P87" i="40"/>
  <c r="S87" i="40" s="1"/>
  <c r="W55" i="40"/>
  <c r="T85" i="40"/>
  <c r="K87" i="39"/>
  <c r="L89" i="39"/>
  <c r="K89" i="39" s="1"/>
  <c r="P98" i="39"/>
  <c r="P87" i="39"/>
  <c r="W55" i="39"/>
  <c r="T85" i="39"/>
  <c r="S85" i="39" s="1"/>
  <c r="H9" i="20"/>
  <c r="P89" i="40" l="1"/>
  <c r="O89" i="40" s="1"/>
  <c r="W85" i="40"/>
  <c r="T98" i="40"/>
  <c r="T87" i="40"/>
  <c r="W87" i="40" s="1"/>
  <c r="T7" i="40"/>
  <c r="P7" i="39"/>
  <c r="P89" i="39" s="1"/>
  <c r="O89" i="39" s="1"/>
  <c r="O87" i="39"/>
  <c r="T98" i="39"/>
  <c r="T87" i="39"/>
  <c r="T89" i="40" l="1"/>
  <c r="S89" i="40" s="1"/>
  <c r="X7" i="40"/>
  <c r="S87" i="39"/>
  <c r="T7" i="39"/>
  <c r="T89" i="39" s="1"/>
  <c r="S89" i="39" s="1"/>
  <c r="W87" i="39" l="1"/>
  <c r="X7" i="39"/>
  <c r="I45" i="7"/>
  <c r="AF6" i="38" l="1"/>
  <c r="V6" i="38"/>
  <c r="H6" i="38"/>
  <c r="O6" i="38"/>
  <c r="E6" i="38"/>
  <c r="O152" i="38"/>
  <c r="O151" i="38"/>
  <c r="Q149" i="38"/>
  <c r="O149" i="38"/>
  <c r="K149" i="38"/>
  <c r="G149" i="38"/>
  <c r="Q148" i="38"/>
  <c r="O148" i="38"/>
  <c r="K148" i="38"/>
  <c r="G148" i="38"/>
  <c r="Q147" i="38"/>
  <c r="O147" i="38"/>
  <c r="K147" i="38"/>
  <c r="G147" i="38"/>
  <c r="Q146" i="38"/>
  <c r="O146" i="38"/>
  <c r="K146" i="38"/>
  <c r="G146" i="38"/>
  <c r="G46" i="38" s="1"/>
  <c r="Q145" i="38"/>
  <c r="O145" i="38"/>
  <c r="K145" i="38"/>
  <c r="G145" i="38"/>
  <c r="Q142" i="38"/>
  <c r="O142" i="38"/>
  <c r="K142" i="38"/>
  <c r="K50" i="38" s="1"/>
  <c r="G142" i="38"/>
  <c r="Q141" i="38"/>
  <c r="O141" i="38"/>
  <c r="K141" i="38"/>
  <c r="K49" i="38" s="1"/>
  <c r="G141" i="38"/>
  <c r="Q140" i="38"/>
  <c r="O140" i="38"/>
  <c r="K140" i="38"/>
  <c r="K47" i="38" s="1"/>
  <c r="G140" i="38"/>
  <c r="Q139" i="38"/>
  <c r="Q153" i="38" s="1"/>
  <c r="Q155" i="38" s="1"/>
  <c r="O139" i="38"/>
  <c r="O153" i="38" s="1"/>
  <c r="O155" i="38" s="1"/>
  <c r="K139" i="38"/>
  <c r="K153" i="38" s="1"/>
  <c r="K155" i="38" s="1"/>
  <c r="G139" i="38"/>
  <c r="G153" i="38" s="1"/>
  <c r="G155" i="38" s="1"/>
  <c r="C136" i="38"/>
  <c r="C135" i="38"/>
  <c r="C134" i="38"/>
  <c r="C133" i="38"/>
  <c r="C44" i="38" s="1"/>
  <c r="Q131" i="38"/>
  <c r="O131" i="38"/>
  <c r="K131" i="38"/>
  <c r="G131" i="38"/>
  <c r="C131" i="38"/>
  <c r="O124" i="38"/>
  <c r="O126" i="38" s="1"/>
  <c r="O127" i="38" s="1"/>
  <c r="K124" i="38"/>
  <c r="K126" i="38" s="1"/>
  <c r="K127" i="38" s="1"/>
  <c r="G124" i="38"/>
  <c r="G126" i="38" s="1"/>
  <c r="G127" i="38" s="1"/>
  <c r="Q123" i="38"/>
  <c r="Q124" i="38" s="1"/>
  <c r="Q126" i="38" s="1"/>
  <c r="Q127" i="38" s="1"/>
  <c r="Q119" i="38"/>
  <c r="O119" i="38"/>
  <c r="K119" i="38"/>
  <c r="G119" i="38"/>
  <c r="AA112" i="38"/>
  <c r="Y112" i="38"/>
  <c r="W112" i="38"/>
  <c r="U112" i="38"/>
  <c r="S112" i="38"/>
  <c r="Q112" i="38"/>
  <c r="O112" i="38"/>
  <c r="M112" i="38"/>
  <c r="I112" i="38"/>
  <c r="G112" i="38"/>
  <c r="E112" i="38"/>
  <c r="AA105" i="38"/>
  <c r="Y105" i="38"/>
  <c r="W105" i="38"/>
  <c r="U105" i="38"/>
  <c r="S105" i="38"/>
  <c r="O105" i="38"/>
  <c r="M105" i="38"/>
  <c r="I105" i="38"/>
  <c r="E105" i="38"/>
  <c r="Q104" i="38"/>
  <c r="AF104" i="38" s="1"/>
  <c r="AF103" i="38"/>
  <c r="Q103" i="38"/>
  <c r="K103" i="38"/>
  <c r="G103" i="38"/>
  <c r="G105" i="38" s="1"/>
  <c r="Q102" i="38"/>
  <c r="Q101" i="38"/>
  <c r="Q105" i="38" s="1"/>
  <c r="AE100" i="38"/>
  <c r="K100" i="38"/>
  <c r="K105" i="38" s="1"/>
  <c r="AE97" i="38"/>
  <c r="AE95" i="38"/>
  <c r="AA95" i="38"/>
  <c r="Y95" i="38"/>
  <c r="W95" i="38"/>
  <c r="U95" i="38"/>
  <c r="S95" i="38"/>
  <c r="O95" i="38"/>
  <c r="M95" i="38"/>
  <c r="K95" i="38"/>
  <c r="I95" i="38"/>
  <c r="G95" i="38"/>
  <c r="E95" i="38"/>
  <c r="C95" i="38"/>
  <c r="Q94" i="38"/>
  <c r="Q95" i="38" s="1"/>
  <c r="B94" i="38"/>
  <c r="AE94" i="38" s="1"/>
  <c r="AF93" i="38"/>
  <c r="B93" i="38"/>
  <c r="AE93" i="38" s="1"/>
  <c r="AA92" i="38"/>
  <c r="Y92" i="38"/>
  <c r="W92" i="38"/>
  <c r="U92" i="38"/>
  <c r="S92" i="38"/>
  <c r="Q92" i="38"/>
  <c r="O92" i="38"/>
  <c r="M92" i="38"/>
  <c r="K92" i="38"/>
  <c r="I92" i="38"/>
  <c r="G92" i="38"/>
  <c r="E92" i="38"/>
  <c r="C92" i="38"/>
  <c r="AD85" i="38"/>
  <c r="AE82" i="38"/>
  <c r="AA82" i="38"/>
  <c r="Y82" i="38"/>
  <c r="W82" i="38"/>
  <c r="U82" i="38"/>
  <c r="S82" i="38"/>
  <c r="Q82" i="38"/>
  <c r="O82" i="38"/>
  <c r="M82" i="38"/>
  <c r="K82" i="38"/>
  <c r="I82" i="38"/>
  <c r="E82" i="38"/>
  <c r="C82" i="38"/>
  <c r="AF81" i="38"/>
  <c r="AE81" i="38"/>
  <c r="AD81" i="38"/>
  <c r="AF80" i="38"/>
  <c r="AE80" i="38"/>
  <c r="AD80" i="38"/>
  <c r="AF79" i="38"/>
  <c r="AE79" i="38"/>
  <c r="AD79" i="38"/>
  <c r="AF78" i="38"/>
  <c r="AE78" i="38"/>
  <c r="AD78" i="38"/>
  <c r="AF77" i="38"/>
  <c r="AE77" i="38"/>
  <c r="AD77" i="38"/>
  <c r="AF76" i="38"/>
  <c r="AE76" i="38"/>
  <c r="AD76" i="38"/>
  <c r="AF75" i="38"/>
  <c r="AE75" i="38"/>
  <c r="AD75" i="38"/>
  <c r="AF74" i="38"/>
  <c r="AE74" i="38"/>
  <c r="AD74" i="38"/>
  <c r="AF73" i="38"/>
  <c r="AE73" i="38"/>
  <c r="AD73" i="38"/>
  <c r="AE72" i="38"/>
  <c r="AD72" i="38"/>
  <c r="G72" i="38"/>
  <c r="AF72" i="38" s="1"/>
  <c r="AF71" i="38"/>
  <c r="AE71" i="38"/>
  <c r="AD71" i="38"/>
  <c r="AF70" i="38"/>
  <c r="AE70" i="38"/>
  <c r="AD70" i="38"/>
  <c r="AF69" i="38"/>
  <c r="AE69" i="38"/>
  <c r="AD69" i="38"/>
  <c r="AD68" i="38"/>
  <c r="AA66" i="38"/>
  <c r="Y66" i="38"/>
  <c r="Y85" i="38" s="1"/>
  <c r="Y97" i="38" s="1"/>
  <c r="Y108" i="38" s="1"/>
  <c r="Y113" i="38" s="1"/>
  <c r="W66" i="38"/>
  <c r="U66" i="38"/>
  <c r="S66" i="38"/>
  <c r="M66" i="38"/>
  <c r="K66" i="38"/>
  <c r="I66" i="38"/>
  <c r="E66" i="38"/>
  <c r="C66" i="38"/>
  <c r="AF65" i="38"/>
  <c r="AE65" i="38"/>
  <c r="AD65" i="38"/>
  <c r="AE64" i="38"/>
  <c r="AD64" i="38"/>
  <c r="Q64" i="38"/>
  <c r="O64" i="38"/>
  <c r="O66" i="38" s="1"/>
  <c r="K64" i="38"/>
  <c r="G64" i="38"/>
  <c r="AF63" i="38"/>
  <c r="AE63" i="38"/>
  <c r="AD63" i="38"/>
  <c r="AE62" i="38"/>
  <c r="AD62" i="38"/>
  <c r="Q62" i="38"/>
  <c r="Q66" i="38" s="1"/>
  <c r="K62" i="38"/>
  <c r="G62" i="38"/>
  <c r="G66" i="38" s="1"/>
  <c r="AF61" i="38"/>
  <c r="AE61" i="38"/>
  <c r="AD61" i="38"/>
  <c r="AF60" i="38"/>
  <c r="AE60" i="38"/>
  <c r="AD60" i="38"/>
  <c r="AF59" i="38"/>
  <c r="AE59" i="38"/>
  <c r="AD59" i="38"/>
  <c r="AD58" i="38"/>
  <c r="AD55" i="38"/>
  <c r="W53" i="38"/>
  <c r="W55" i="38" s="1"/>
  <c r="AF51" i="38"/>
  <c r="AE51" i="38"/>
  <c r="AD51" i="38"/>
  <c r="AE50" i="38"/>
  <c r="AD50" i="38"/>
  <c r="AA50" i="38"/>
  <c r="Y50" i="38"/>
  <c r="W50" i="38"/>
  <c r="U50" i="38"/>
  <c r="S50" i="38"/>
  <c r="Q50" i="38"/>
  <c r="O50" i="38"/>
  <c r="M50" i="38"/>
  <c r="I50" i="38"/>
  <c r="G50" i="38"/>
  <c r="E50" i="38"/>
  <c r="C50" i="38"/>
  <c r="AE49" i="38"/>
  <c r="AD49" i="38"/>
  <c r="AA49" i="38"/>
  <c r="S49" i="38"/>
  <c r="Q49" i="38"/>
  <c r="O49" i="38"/>
  <c r="M49" i="38"/>
  <c r="I49" i="38"/>
  <c r="G49" i="38"/>
  <c r="E49" i="38"/>
  <c r="C49" i="38"/>
  <c r="AF48" i="38"/>
  <c r="AE48" i="38"/>
  <c r="AD48" i="38"/>
  <c r="C48" i="38"/>
  <c r="AE47" i="38"/>
  <c r="AD47" i="38"/>
  <c r="AA47" i="38"/>
  <c r="W47" i="38"/>
  <c r="U47" i="38"/>
  <c r="S47" i="38"/>
  <c r="Q47" i="38"/>
  <c r="O47" i="38"/>
  <c r="M47" i="38"/>
  <c r="M53" i="38" s="1"/>
  <c r="M55" i="38" s="1"/>
  <c r="I47" i="38"/>
  <c r="I53" i="38" s="1"/>
  <c r="I55" i="38" s="1"/>
  <c r="G47" i="38"/>
  <c r="E47" i="38"/>
  <c r="C47" i="38"/>
  <c r="AE46" i="38"/>
  <c r="AD46" i="38"/>
  <c r="AA46" i="38"/>
  <c r="AA53" i="38" s="1"/>
  <c r="AA55" i="38" s="1"/>
  <c r="Y46" i="38"/>
  <c r="Y53" i="38" s="1"/>
  <c r="Y55" i="38" s="1"/>
  <c r="W46" i="38"/>
  <c r="U46" i="38"/>
  <c r="S46" i="38"/>
  <c r="S53" i="38" s="1"/>
  <c r="S55" i="38" s="1"/>
  <c r="Q46" i="38"/>
  <c r="O46" i="38"/>
  <c r="K46" i="38"/>
  <c r="E46" i="38"/>
  <c r="E53" i="38" s="1"/>
  <c r="E55" i="38" s="1"/>
  <c r="C46" i="38"/>
  <c r="AE45" i="38"/>
  <c r="AD45" i="38"/>
  <c r="U45" i="38"/>
  <c r="G45" i="38"/>
  <c r="AF45" i="38" s="1"/>
  <c r="AE44" i="38"/>
  <c r="AD44" i="38"/>
  <c r="U44" i="38"/>
  <c r="U53" i="38" s="1"/>
  <c r="U55" i="38" s="1"/>
  <c r="Q44" i="38"/>
  <c r="Q53" i="38" s="1"/>
  <c r="O44" i="38"/>
  <c r="AD43" i="38"/>
  <c r="AD42" i="38"/>
  <c r="AA41" i="38"/>
  <c r="Y41" i="38"/>
  <c r="W41" i="38"/>
  <c r="U41" i="38"/>
  <c r="S41" i="38"/>
  <c r="Q41" i="38"/>
  <c r="O41" i="38"/>
  <c r="M41" i="38"/>
  <c r="K41" i="38"/>
  <c r="I41" i="38"/>
  <c r="E41" i="38"/>
  <c r="C41" i="38"/>
  <c r="AF39" i="38"/>
  <c r="AE39" i="38"/>
  <c r="AD39" i="38"/>
  <c r="AF38" i="38"/>
  <c r="AE38" i="38"/>
  <c r="AD38" i="38"/>
  <c r="AF37" i="38"/>
  <c r="AE37" i="38"/>
  <c r="AD37" i="38"/>
  <c r="AF36" i="38"/>
  <c r="AE36" i="38"/>
  <c r="AD36" i="38"/>
  <c r="AF35" i="38"/>
  <c r="AE35" i="38"/>
  <c r="AD35" i="38"/>
  <c r="AF34" i="38"/>
  <c r="AE34" i="38"/>
  <c r="AD34" i="38"/>
  <c r="AF33" i="38"/>
  <c r="AF41" i="38" s="1"/>
  <c r="AE33" i="38"/>
  <c r="AD33" i="38"/>
  <c r="G33" i="38"/>
  <c r="G41" i="38" s="1"/>
  <c r="AD32" i="38"/>
  <c r="AA30" i="38"/>
  <c r="Y30" i="38"/>
  <c r="W30" i="38"/>
  <c r="U30" i="38"/>
  <c r="S30" i="38"/>
  <c r="O30" i="38"/>
  <c r="M30" i="38"/>
  <c r="I30" i="38"/>
  <c r="G30" i="38"/>
  <c r="E30" i="38"/>
  <c r="AF28" i="38"/>
  <c r="AE28" i="38"/>
  <c r="AD28" i="38"/>
  <c r="C28" i="38"/>
  <c r="C30" i="38" s="1"/>
  <c r="AF27" i="38"/>
  <c r="AE27" i="38"/>
  <c r="AD27" i="38"/>
  <c r="AF26" i="38"/>
  <c r="AE26" i="38"/>
  <c r="AD26" i="38"/>
  <c r="AF25" i="38"/>
  <c r="AE25" i="38"/>
  <c r="AD25" i="38"/>
  <c r="AF24" i="38"/>
  <c r="AE24" i="38"/>
  <c r="AD24" i="38"/>
  <c r="AF23" i="38"/>
  <c r="AE23" i="38"/>
  <c r="AD23" i="38"/>
  <c r="AF22" i="38"/>
  <c r="AE22" i="38"/>
  <c r="AD22" i="38"/>
  <c r="AE21" i="38"/>
  <c r="AD21" i="38"/>
  <c r="Q21" i="38"/>
  <c r="Q30" i="38" s="1"/>
  <c r="K21" i="38"/>
  <c r="AF21" i="38" s="1"/>
  <c r="AF30" i="38" s="1"/>
  <c r="AD20" i="38"/>
  <c r="AD15" i="38"/>
  <c r="AE13" i="38"/>
  <c r="AD13" i="38"/>
  <c r="G12" i="38"/>
  <c r="AD11" i="38"/>
  <c r="AF10" i="38"/>
  <c r="AE10" i="38"/>
  <c r="AE9" i="38"/>
  <c r="AD9" i="38"/>
  <c r="E10" i="38"/>
  <c r="E11" i="38" s="1"/>
  <c r="C9" i="38" s="1"/>
  <c r="C11" i="38" s="1"/>
  <c r="AF7" i="38"/>
  <c r="AD7" i="38"/>
  <c r="G44" i="38" l="1"/>
  <c r="K44" i="38"/>
  <c r="K53" i="38" s="1"/>
  <c r="AF49" i="38"/>
  <c r="AF50" i="38"/>
  <c r="G53" i="38"/>
  <c r="G55" i="38" s="1"/>
  <c r="AF46" i="38"/>
  <c r="O53" i="38"/>
  <c r="O55" i="38" s="1"/>
  <c r="O85" i="38" s="1"/>
  <c r="AF47" i="38"/>
  <c r="C137" i="38"/>
  <c r="I85" i="38"/>
  <c r="I97" i="38" s="1"/>
  <c r="I108" i="38" s="1"/>
  <c r="M85" i="38"/>
  <c r="M97" i="38" s="1"/>
  <c r="M108" i="38" s="1"/>
  <c r="U85" i="38"/>
  <c r="U97" i="38" s="1"/>
  <c r="U108" i="38" s="1"/>
  <c r="U113" i="38" s="1"/>
  <c r="E85" i="38"/>
  <c r="W85" i="38"/>
  <c r="W97" i="38" s="1"/>
  <c r="W108" i="38" s="1"/>
  <c r="W113" i="38" s="1"/>
  <c r="AF9" i="38"/>
  <c r="AF11" i="38" s="1"/>
  <c r="AF66" i="38"/>
  <c r="Q55" i="38"/>
  <c r="Q85" i="38" s="1"/>
  <c r="AF82" i="38"/>
  <c r="S85" i="38"/>
  <c r="S97" i="38" s="1"/>
  <c r="S108" i="38" s="1"/>
  <c r="S113" i="38" s="1"/>
  <c r="AA85" i="38"/>
  <c r="AA97" i="38" s="1"/>
  <c r="AA108" i="38" s="1"/>
  <c r="AA113" i="38" s="1"/>
  <c r="C102" i="38"/>
  <c r="AF64" i="38"/>
  <c r="AF100" i="38"/>
  <c r="G82" i="38"/>
  <c r="K30" i="38"/>
  <c r="C53" i="38"/>
  <c r="C55" i="38" s="1"/>
  <c r="AF62" i="38"/>
  <c r="AF101" i="38"/>
  <c r="AF94" i="38"/>
  <c r="AF95" i="38" s="1"/>
  <c r="I48" i="19"/>
  <c r="AF44" i="38" l="1"/>
  <c r="AF53" i="38" s="1"/>
  <c r="AF55" i="38" s="1"/>
  <c r="K55" i="38"/>
  <c r="K85" i="38" s="1"/>
  <c r="K88" i="38" s="1"/>
  <c r="G85" i="38"/>
  <c r="G97" i="38" s="1"/>
  <c r="G108" i="38" s="1"/>
  <c r="Q88" i="38"/>
  <c r="Q97" i="38"/>
  <c r="Q108" i="38" s="1"/>
  <c r="Q113" i="38" s="1"/>
  <c r="E97" i="38"/>
  <c r="E108" i="38" s="1"/>
  <c r="AF102" i="38"/>
  <c r="C105" i="38"/>
  <c r="AF105" i="38"/>
  <c r="C13" i="38"/>
  <c r="C85" i="38" s="1"/>
  <c r="O88" i="38"/>
  <c r="O97" i="38"/>
  <c r="O108" i="38" s="1"/>
  <c r="E105" i="5"/>
  <c r="G88" i="38" l="1"/>
  <c r="K97" i="38"/>
  <c r="K108" i="38" s="1"/>
  <c r="C89" i="38"/>
  <c r="AF110" i="38"/>
  <c r="C97" i="38"/>
  <c r="C108" i="38" s="1"/>
  <c r="C88" i="38"/>
  <c r="AG85" i="38"/>
  <c r="C15" i="38"/>
  <c r="AF13" i="38"/>
  <c r="AA92" i="5"/>
  <c r="Y92" i="5"/>
  <c r="W92" i="5"/>
  <c r="U92" i="5"/>
  <c r="S92" i="5"/>
  <c r="Q92" i="5"/>
  <c r="O92" i="5"/>
  <c r="M92" i="5"/>
  <c r="K92" i="5"/>
  <c r="I92" i="5"/>
  <c r="G92" i="5"/>
  <c r="E92" i="5"/>
  <c r="C92" i="5"/>
  <c r="C90" i="38" l="1"/>
  <c r="C91" i="38" s="1"/>
  <c r="AF15" i="38"/>
  <c r="AF85" i="38"/>
  <c r="AF111" i="38"/>
  <c r="AG108" i="38"/>
  <c r="K100" i="5"/>
  <c r="AF113" i="38" l="1"/>
  <c r="AG111" i="38"/>
  <c r="AF97" i="38"/>
  <c r="AF108" i="38" s="1"/>
  <c r="AG109" i="38" s="1"/>
  <c r="AF87" i="38"/>
  <c r="AF89" i="38" s="1"/>
  <c r="AE100" i="5"/>
  <c r="AA112" i="5"/>
  <c r="Y112" i="5"/>
  <c r="W112" i="5"/>
  <c r="U112" i="5"/>
  <c r="S112" i="5"/>
  <c r="Q94" i="5"/>
  <c r="Q126" i="5"/>
  <c r="Q127" i="5" s="1"/>
  <c r="Q123" i="5"/>
  <c r="Q124" i="5" s="1"/>
  <c r="Q104" i="5"/>
  <c r="Q112" i="5"/>
  <c r="Q103" i="5"/>
  <c r="Q102" i="5"/>
  <c r="Q101" i="5"/>
  <c r="O105" i="5"/>
  <c r="O112" i="5"/>
  <c r="Q119" i="5"/>
  <c r="O124" i="5"/>
  <c r="O126" i="5" s="1"/>
  <c r="O127" i="5" s="1"/>
  <c r="O119" i="5"/>
  <c r="M112" i="5"/>
  <c r="K103" i="5"/>
  <c r="K119" i="5"/>
  <c r="G119" i="5"/>
  <c r="K124" i="5"/>
  <c r="K126" i="5" s="1"/>
  <c r="K127" i="5" s="1"/>
  <c r="I112" i="5"/>
  <c r="G103" i="5"/>
  <c r="G126" i="5"/>
  <c r="G127" i="5" s="1"/>
  <c r="G124" i="5"/>
  <c r="B93" i="5"/>
  <c r="G112" i="5"/>
  <c r="E112" i="5"/>
  <c r="E12" i="5" l="1"/>
  <c r="AF93" i="5" l="1"/>
  <c r="AF94" i="5"/>
  <c r="L29" i="3" l="1"/>
  <c r="H29" i="3"/>
  <c r="AF100" i="5"/>
  <c r="AF101" i="5" l="1"/>
  <c r="AF95" i="5" l="1"/>
  <c r="G95" i="5"/>
  <c r="AE93" i="5" l="1"/>
  <c r="C30" i="28" l="1"/>
  <c r="F54" i="27" l="1"/>
  <c r="E68" i="28"/>
  <c r="F68" i="28"/>
  <c r="N68" i="28" s="1"/>
  <c r="E69" i="28"/>
  <c r="F69" i="28"/>
  <c r="N69" i="28" s="1"/>
  <c r="G69" i="28"/>
  <c r="O69" i="28" s="1"/>
  <c r="H69" i="28"/>
  <c r="P69" i="28" s="1"/>
  <c r="I69" i="28"/>
  <c r="Q69" i="28" s="1"/>
  <c r="E70" i="28"/>
  <c r="F70" i="28"/>
  <c r="N70" i="28" s="1"/>
  <c r="G70" i="28"/>
  <c r="O70" i="28" s="1"/>
  <c r="H70" i="28"/>
  <c r="P70" i="28" s="1"/>
  <c r="I70" i="28"/>
  <c r="Q70" i="28" s="1"/>
  <c r="E71" i="28"/>
  <c r="F71" i="28"/>
  <c r="N71" i="28" s="1"/>
  <c r="G71" i="28"/>
  <c r="O71" i="28" s="1"/>
  <c r="H71" i="28"/>
  <c r="P71" i="28" s="1"/>
  <c r="I71" i="28"/>
  <c r="Q71" i="28" s="1"/>
  <c r="C69" i="28"/>
  <c r="C70" i="28"/>
  <c r="C71" i="28"/>
  <c r="C68" i="28"/>
  <c r="E28" i="28"/>
  <c r="E29" i="28"/>
  <c r="F29" i="28"/>
  <c r="N29" i="28" s="1"/>
  <c r="G29" i="28"/>
  <c r="O29" i="28" s="1"/>
  <c r="E30" i="28"/>
  <c r="F30" i="28"/>
  <c r="N30" i="28" s="1"/>
  <c r="G30" i="28"/>
  <c r="O30" i="28" s="1"/>
  <c r="H30" i="28"/>
  <c r="P30" i="28" s="1"/>
  <c r="I30" i="28"/>
  <c r="Q30" i="28" s="1"/>
  <c r="E31" i="28"/>
  <c r="F31" i="28"/>
  <c r="N31" i="28" s="1"/>
  <c r="G31" i="28"/>
  <c r="O31" i="28" s="1"/>
  <c r="H31" i="28"/>
  <c r="P31" i="28" s="1"/>
  <c r="I31" i="28"/>
  <c r="Q31" i="28" s="1"/>
  <c r="C29" i="28"/>
  <c r="C31" i="28"/>
  <c r="F16" i="27"/>
  <c r="C28" i="28" l="1"/>
  <c r="H29" i="28"/>
  <c r="P29" i="28" s="1"/>
  <c r="I6" i="26"/>
  <c r="I9" i="26"/>
  <c r="I11" i="26"/>
  <c r="F28" i="28" l="1"/>
  <c r="N28" i="28" s="1"/>
  <c r="I29" i="28"/>
  <c r="Q29" i="28" s="1"/>
  <c r="G28" i="28"/>
  <c r="O28" i="28" s="1"/>
  <c r="H28" i="28" l="1"/>
  <c r="P28" i="28" s="1"/>
  <c r="I28" i="28" l="1"/>
  <c r="Q28" i="28" s="1"/>
  <c r="D71" i="19" l="1"/>
  <c r="C67" i="37" l="1"/>
  <c r="E70" i="37"/>
  <c r="D70" i="37"/>
  <c r="C70" i="37"/>
  <c r="F65" i="37"/>
  <c r="E65" i="37"/>
  <c r="D65" i="37"/>
  <c r="C65" i="37"/>
  <c r="F57" i="37"/>
  <c r="E57" i="37"/>
  <c r="D57" i="37"/>
  <c r="C57" i="37"/>
  <c r="D54" i="37"/>
  <c r="F49" i="37"/>
  <c r="E49" i="37"/>
  <c r="D49" i="37"/>
  <c r="C49" i="37"/>
  <c r="D46" i="37"/>
  <c r="F41" i="37"/>
  <c r="E41" i="37"/>
  <c r="D41" i="37"/>
  <c r="C41" i="37"/>
  <c r="D38" i="37"/>
  <c r="F33" i="37"/>
  <c r="E33" i="37"/>
  <c r="D33" i="37"/>
  <c r="C33" i="37"/>
  <c r="E30" i="37"/>
  <c r="D30" i="37"/>
  <c r="F25" i="37"/>
  <c r="E25" i="37"/>
  <c r="D25" i="37"/>
  <c r="C25" i="37"/>
  <c r="E22" i="37"/>
  <c r="F17" i="37"/>
  <c r="E17" i="37"/>
  <c r="D17" i="37"/>
  <c r="C17" i="37"/>
  <c r="E14" i="37"/>
  <c r="D14" i="37"/>
  <c r="C10" i="37"/>
  <c r="C18" i="37" s="1"/>
  <c r="C26" i="37" s="1"/>
  <c r="C34" i="37" s="1"/>
  <c r="C42" i="37" s="1"/>
  <c r="C50" i="37" s="1"/>
  <c r="C58" i="37" s="1"/>
  <c r="C66" i="37" s="1"/>
  <c r="F9" i="37"/>
  <c r="E9" i="37"/>
  <c r="D9" i="37"/>
  <c r="C9" i="37"/>
  <c r="C54" i="37" l="1"/>
  <c r="C55" i="37" s="1"/>
  <c r="D51" i="37" s="1"/>
  <c r="D55" i="37" s="1"/>
  <c r="E51" i="37" s="1"/>
  <c r="C71" i="37"/>
  <c r="D67" i="37" s="1"/>
  <c r="D71" i="37" s="1"/>
  <c r="E67" i="37" s="1"/>
  <c r="E71" i="37" s="1"/>
  <c r="F67" i="37" s="1"/>
  <c r="E54" i="37"/>
  <c r="C14" i="37"/>
  <c r="C15" i="37" s="1"/>
  <c r="D11" i="37" s="1"/>
  <c r="D15" i="37" s="1"/>
  <c r="C62" i="37"/>
  <c r="C63" i="37" s="1"/>
  <c r="D59" i="37" s="1"/>
  <c r="C22" i="37"/>
  <c r="C23" i="37" s="1"/>
  <c r="D19" i="37" s="1"/>
  <c r="C46" i="37"/>
  <c r="C47" i="37" s="1"/>
  <c r="D43" i="37" s="1"/>
  <c r="D47" i="37" s="1"/>
  <c r="E43" i="37" s="1"/>
  <c r="F54" i="37"/>
  <c r="D22" i="37"/>
  <c r="E46" i="37"/>
  <c r="C38" i="37"/>
  <c r="C39" i="37" s="1"/>
  <c r="C31" i="37"/>
  <c r="D27" i="37" s="1"/>
  <c r="D31" i="37" s="1"/>
  <c r="E27" i="37" s="1"/>
  <c r="E31" i="37" s="1"/>
  <c r="F27" i="37" s="1"/>
  <c r="C7" i="37"/>
  <c r="D3" i="37" s="1"/>
  <c r="E62" i="37"/>
  <c r="D62" i="37"/>
  <c r="E55" i="37" l="1"/>
  <c r="F51" i="37" s="1"/>
  <c r="D35" i="37"/>
  <c r="D39" i="37" s="1"/>
  <c r="D23" i="37"/>
  <c r="E19" i="37" s="1"/>
  <c r="E23" i="37" s="1"/>
  <c r="F19" i="37" s="1"/>
  <c r="F23" i="37" s="1"/>
  <c r="G19" i="37" s="1"/>
  <c r="G23" i="37" s="1"/>
  <c r="E11" i="37"/>
  <c r="E15" i="37" s="1"/>
  <c r="F55" i="37"/>
  <c r="G51" i="37" s="1"/>
  <c r="G55" i="37" s="1"/>
  <c r="D63" i="37"/>
  <c r="E59" i="37" s="1"/>
  <c r="E63" i="37" s="1"/>
  <c r="F59" i="37" s="1"/>
  <c r="E47" i="37"/>
  <c r="F43" i="37" s="1"/>
  <c r="D7" i="37"/>
  <c r="E3" i="37" s="1"/>
  <c r="E35" i="37" l="1"/>
  <c r="E39" i="37" s="1"/>
  <c r="F35" i="37" s="1"/>
  <c r="F11" i="37"/>
  <c r="E7" i="37"/>
  <c r="F3" i="37" s="1"/>
  <c r="F7" i="37" s="1"/>
  <c r="G3" i="37" s="1"/>
  <c r="G7" i="37" s="1"/>
  <c r="E29" i="35"/>
  <c r="F29" i="35"/>
  <c r="G29" i="35"/>
  <c r="D29" i="35"/>
  <c r="E10" i="35"/>
  <c r="F10" i="35"/>
  <c r="G10" i="35"/>
  <c r="D10" i="35"/>
  <c r="G32" i="35" l="1"/>
  <c r="F32" i="35"/>
  <c r="E32" i="35"/>
  <c r="E13" i="35"/>
  <c r="F34" i="26"/>
  <c r="G27" i="31" l="1"/>
  <c r="F8" i="26" l="1"/>
  <c r="D45" i="28"/>
  <c r="F45" i="26"/>
  <c r="F45" i="28" s="1"/>
  <c r="N45" i="28" s="1"/>
  <c r="D15" i="25" l="1"/>
  <c r="I83" i="31"/>
  <c r="I82" i="31"/>
  <c r="Q56" i="33" l="1"/>
  <c r="Q57" i="33"/>
  <c r="Q58" i="33"/>
  <c r="M104" i="31"/>
  <c r="M105" i="31"/>
  <c r="M106" i="31"/>
  <c r="M58" i="33"/>
  <c r="M57" i="33"/>
  <c r="M56" i="33"/>
  <c r="P62" i="33"/>
  <c r="P50" i="33"/>
  <c r="P51" i="33"/>
  <c r="P52" i="33"/>
  <c r="P53" i="33"/>
  <c r="P54" i="33"/>
  <c r="L55" i="33"/>
  <c r="P55" i="33" s="1"/>
  <c r="P49" i="33"/>
  <c r="D65" i="36"/>
  <c r="E62" i="36"/>
  <c r="E48" i="36"/>
  <c r="E55" i="36"/>
  <c r="A55" i="36"/>
  <c r="E54" i="36"/>
  <c r="A54" i="36"/>
  <c r="E49" i="36"/>
  <c r="G45" i="36" s="1"/>
  <c r="E38" i="36"/>
  <c r="G38" i="36" s="1"/>
  <c r="E36" i="36"/>
  <c r="E35" i="36"/>
  <c r="E30" i="36"/>
  <c r="E29" i="36"/>
  <c r="F25" i="36"/>
  <c r="E25" i="36"/>
  <c r="F23" i="36"/>
  <c r="E23" i="36"/>
  <c r="E22" i="36"/>
  <c r="E19" i="36"/>
  <c r="F19" i="36"/>
  <c r="G19" i="36"/>
  <c r="H19" i="36"/>
  <c r="E18" i="36"/>
  <c r="E16" i="36"/>
  <c r="E15" i="36"/>
  <c r="F15" i="36"/>
  <c r="F14" i="36"/>
  <c r="E14" i="36"/>
  <c r="E13" i="36"/>
  <c r="F13" i="36"/>
  <c r="E12" i="36"/>
  <c r="F10" i="36"/>
  <c r="G10" i="36"/>
  <c r="F9" i="36"/>
  <c r="E10" i="36"/>
  <c r="E9" i="36"/>
  <c r="L10" i="12"/>
  <c r="G8" i="36" s="1"/>
  <c r="F8" i="36"/>
  <c r="E8" i="36"/>
  <c r="E7" i="36"/>
  <c r="G5" i="36"/>
  <c r="G69" i="36"/>
  <c r="G63" i="36"/>
  <c r="G76" i="36"/>
  <c r="G53" i="36"/>
  <c r="G42" i="36"/>
  <c r="G33" i="36"/>
  <c r="G22" i="36"/>
  <c r="G21" i="36"/>
  <c r="G20" i="36"/>
  <c r="D12" i="36"/>
  <c r="D15" i="36"/>
  <c r="F20" i="36"/>
  <c r="H20" i="36" s="1"/>
  <c r="F21" i="36"/>
  <c r="H21" i="36" s="1"/>
  <c r="F22" i="36"/>
  <c r="H22" i="36" s="1"/>
  <c r="F33" i="36"/>
  <c r="F69" i="36" s="1"/>
  <c r="H33" i="36"/>
  <c r="H69" i="36" s="1"/>
  <c r="D35" i="36"/>
  <c r="D36" i="36"/>
  <c r="F42" i="36"/>
  <c r="H42" i="36"/>
  <c r="D43" i="36"/>
  <c r="F53" i="36"/>
  <c r="H53" i="36" s="1"/>
  <c r="D76" i="36"/>
  <c r="E76" i="36"/>
  <c r="D63" i="36"/>
  <c r="E63" i="36"/>
  <c r="F63" i="36"/>
  <c r="H63" i="36"/>
  <c r="D64" i="36"/>
  <c r="D69" i="36"/>
  <c r="E69" i="36"/>
  <c r="D70" i="36"/>
  <c r="D71" i="36"/>
  <c r="E71" i="36"/>
  <c r="D72" i="36"/>
  <c r="D73" i="36" s="1"/>
  <c r="E72" i="36"/>
  <c r="D77" i="36"/>
  <c r="D78" i="36"/>
  <c r="P10" i="12" l="1"/>
  <c r="H8" i="36" s="1"/>
  <c r="F38" i="36"/>
  <c r="H38" i="36" s="1"/>
  <c r="E65" i="36"/>
  <c r="E79" i="36" s="1"/>
  <c r="G65" i="36"/>
  <c r="E64" i="36"/>
  <c r="E78" i="36" s="1"/>
  <c r="F45" i="36"/>
  <c r="H45" i="36" s="1"/>
  <c r="H65" i="36" s="1"/>
  <c r="H76" i="36"/>
  <c r="D66" i="36"/>
  <c r="D79" i="36"/>
  <c r="D80" i="36" s="1"/>
  <c r="F76" i="36"/>
  <c r="F65" i="36" l="1"/>
  <c r="E66" i="36"/>
  <c r="D84" i="36" l="1"/>
  <c r="D87" i="36" l="1"/>
  <c r="U45" i="35" l="1"/>
  <c r="W45" i="35" s="1"/>
  <c r="Y45" i="35" s="1"/>
  <c r="AA45" i="35" s="1"/>
  <c r="AC45" i="35" s="1"/>
  <c r="S45" i="35"/>
  <c r="R45" i="35"/>
  <c r="N43" i="35"/>
  <c r="Q32" i="35"/>
  <c r="K32" i="35"/>
  <c r="J32" i="35"/>
  <c r="I32" i="35"/>
  <c r="H32" i="35"/>
  <c r="W31" i="35"/>
  <c r="S31" i="35"/>
  <c r="U31" i="35" s="1"/>
  <c r="Q31" i="35"/>
  <c r="S30" i="35"/>
  <c r="Q30" i="35"/>
  <c r="Q29" i="35"/>
  <c r="AC28" i="35"/>
  <c r="AA28" i="35"/>
  <c r="Y28" i="35"/>
  <c r="W28" i="35"/>
  <c r="U28" i="35"/>
  <c r="S28" i="35"/>
  <c r="Q28" i="35"/>
  <c r="O28" i="35"/>
  <c r="O33" i="35" s="1"/>
  <c r="N23" i="35"/>
  <c r="Q13" i="35"/>
  <c r="S13" i="35" s="1"/>
  <c r="I13" i="35"/>
  <c r="H13" i="35"/>
  <c r="G13" i="35"/>
  <c r="F13" i="35"/>
  <c r="S12" i="35"/>
  <c r="U12" i="35" s="1"/>
  <c r="Q12" i="35"/>
  <c r="S11" i="35"/>
  <c r="Q11" i="35"/>
  <c r="Q10" i="35"/>
  <c r="I10" i="35"/>
  <c r="J10" i="35" s="1"/>
  <c r="Y9" i="35"/>
  <c r="W9" i="35"/>
  <c r="U9" i="35"/>
  <c r="S9" i="35"/>
  <c r="Q9" i="35"/>
  <c r="O9" i="35"/>
  <c r="N4" i="35"/>
  <c r="E24" i="35" l="1"/>
  <c r="S10" i="35"/>
  <c r="W12" i="35"/>
  <c r="Q14" i="35"/>
  <c r="AA9" i="35"/>
  <c r="J13" i="35"/>
  <c r="Y31" i="35"/>
  <c r="S14" i="35"/>
  <c r="K10" i="35"/>
  <c r="U11" i="35"/>
  <c r="U13" i="35"/>
  <c r="O14" i="35"/>
  <c r="S33" i="35"/>
  <c r="S29" i="35"/>
  <c r="R47" i="35"/>
  <c r="T45" i="35"/>
  <c r="Q33" i="35"/>
  <c r="U30" i="35"/>
  <c r="S32" i="35"/>
  <c r="W30" i="35" l="1"/>
  <c r="AA31" i="35"/>
  <c r="V45" i="35"/>
  <c r="T47" i="35"/>
  <c r="W13" i="35"/>
  <c r="K13" i="35"/>
  <c r="AC9" i="35"/>
  <c r="Y12" i="35"/>
  <c r="U10" i="35"/>
  <c r="U32" i="35"/>
  <c r="U29" i="35"/>
  <c r="W11" i="35"/>
  <c r="W32" i="35" l="1"/>
  <c r="Y11" i="35"/>
  <c r="V47" i="35"/>
  <c r="X45" i="35"/>
  <c r="W29" i="35"/>
  <c r="U33" i="35"/>
  <c r="W10" i="35"/>
  <c r="U14" i="35"/>
  <c r="AA12" i="35"/>
  <c r="Y13" i="35"/>
  <c r="AC31" i="35"/>
  <c r="Y30" i="35"/>
  <c r="AA11" i="35" l="1"/>
  <c r="Y29" i="35"/>
  <c r="W33" i="35"/>
  <c r="AA30" i="35"/>
  <c r="AA13" i="35"/>
  <c r="AC12" i="35"/>
  <c r="Y10" i="35"/>
  <c r="W14" i="35"/>
  <c r="X47" i="35"/>
  <c r="Z45" i="35"/>
  <c r="Y32" i="35"/>
  <c r="AA32" i="35" l="1"/>
  <c r="AC13" i="35"/>
  <c r="AC11" i="35"/>
  <c r="AC30" i="35"/>
  <c r="AA10" i="35"/>
  <c r="Y14" i="35"/>
  <c r="Z47" i="35"/>
  <c r="AB45" i="35"/>
  <c r="AA29" i="35"/>
  <c r="Y33" i="35"/>
  <c r="AD45" i="35" l="1"/>
  <c r="AD47" i="35" s="1"/>
  <c r="AB47" i="35"/>
  <c r="AC29" i="35"/>
  <c r="AA33" i="35"/>
  <c r="AC32" i="35"/>
  <c r="AC10" i="35"/>
  <c r="AA14" i="35"/>
  <c r="AC33" i="35" l="1"/>
  <c r="AC14" i="35"/>
  <c r="H74" i="23" l="1"/>
  <c r="H82" i="23"/>
  <c r="H73" i="23"/>
  <c r="H61" i="23"/>
  <c r="H64" i="23"/>
  <c r="H65" i="23"/>
  <c r="H62" i="32"/>
  <c r="P62" i="32" s="1"/>
  <c r="P63" i="32"/>
  <c r="H64" i="32"/>
  <c r="L64" i="32" s="1"/>
  <c r="P64" i="32" s="1"/>
  <c r="H65" i="32"/>
  <c r="L65" i="32" s="1"/>
  <c r="P65" i="32" s="1"/>
  <c r="H66" i="32"/>
  <c r="L66" i="32" s="1"/>
  <c r="P66" i="32" s="1"/>
  <c r="L67" i="32"/>
  <c r="P67" i="32" s="1"/>
  <c r="H61" i="32"/>
  <c r="P61" i="32" s="1"/>
  <c r="P63" i="30"/>
  <c r="P64" i="30"/>
  <c r="P67" i="30"/>
  <c r="H69" i="30"/>
  <c r="I69" i="30"/>
  <c r="H70" i="30"/>
  <c r="I70" i="30"/>
  <c r="P61" i="30"/>
  <c r="P97" i="31"/>
  <c r="P98" i="31"/>
  <c r="P99" i="31"/>
  <c r="P100" i="31"/>
  <c r="F52" i="26"/>
  <c r="F54" i="26" s="1"/>
  <c r="H163" i="31"/>
  <c r="H162" i="31"/>
  <c r="G162" i="31"/>
  <c r="G163" i="31" l="1"/>
  <c r="P162" i="31"/>
  <c r="O162" i="31" s="1"/>
  <c r="K162" i="31"/>
  <c r="H87" i="23"/>
  <c r="H83" i="23"/>
  <c r="H81" i="23"/>
  <c r="H75" i="23"/>
  <c r="P163" i="31"/>
  <c r="O163" i="31" s="1"/>
  <c r="K163" i="31"/>
  <c r="F67" i="26" l="1"/>
  <c r="H161" i="31"/>
  <c r="F48" i="26"/>
  <c r="F47" i="26"/>
  <c r="F43" i="26"/>
  <c r="H11" i="26"/>
  <c r="H9" i="26"/>
  <c r="H6" i="26"/>
  <c r="G11" i="26"/>
  <c r="G9" i="26"/>
  <c r="G6" i="26"/>
  <c r="F11" i="26"/>
  <c r="F9" i="26"/>
  <c r="AB81" i="33"/>
  <c r="X81" i="33"/>
  <c r="T81" i="33"/>
  <c r="P81" i="33"/>
  <c r="L81" i="33"/>
  <c r="H81" i="33"/>
  <c r="D81" i="33"/>
  <c r="L10" i="32"/>
  <c r="P10" i="32" s="1"/>
  <c r="F6" i="26"/>
  <c r="D166" i="31"/>
  <c r="Q158" i="31"/>
  <c r="M158" i="31"/>
  <c r="L158" i="31" s="1"/>
  <c r="Q159" i="31"/>
  <c r="M159" i="31"/>
  <c r="AB153" i="31"/>
  <c r="X153" i="31"/>
  <c r="T153" i="31"/>
  <c r="P153" i="31"/>
  <c r="L153" i="31"/>
  <c r="H153" i="31"/>
  <c r="D153" i="31"/>
  <c r="F46" i="26" s="1"/>
  <c r="Q123" i="31"/>
  <c r="Q124" i="31"/>
  <c r="Q125" i="31"/>
  <c r="Q126" i="31"/>
  <c r="Q127" i="31"/>
  <c r="Q121" i="31"/>
  <c r="M123" i="31"/>
  <c r="M124" i="31"/>
  <c r="M125" i="31"/>
  <c r="M126" i="31"/>
  <c r="M127" i="31"/>
  <c r="M121" i="31"/>
  <c r="L136" i="31" s="1"/>
  <c r="D110" i="31"/>
  <c r="L102" i="31"/>
  <c r="P102" i="31" s="1"/>
  <c r="L101" i="31"/>
  <c r="P101" i="31" s="1"/>
  <c r="Q90" i="31"/>
  <c r="M90" i="31"/>
  <c r="F38" i="26"/>
  <c r="F37" i="26"/>
  <c r="F36" i="26"/>
  <c r="F35" i="26"/>
  <c r="F33" i="26"/>
  <c r="L72" i="31"/>
  <c r="L77" i="31"/>
  <c r="L74" i="31"/>
  <c r="K74" i="31" s="1"/>
  <c r="L73" i="31"/>
  <c r="Q77" i="31"/>
  <c r="Q74" i="31"/>
  <c r="Q73" i="31"/>
  <c r="Q72" i="31"/>
  <c r="Q71" i="31"/>
  <c r="Q70" i="31"/>
  <c r="M70" i="31"/>
  <c r="M71" i="31"/>
  <c r="M72" i="31"/>
  <c r="M73" i="31"/>
  <c r="M74" i="31"/>
  <c r="M77" i="31"/>
  <c r="M69" i="31"/>
  <c r="L70" i="31"/>
  <c r="L71" i="31"/>
  <c r="P71" i="31" s="1"/>
  <c r="Q52" i="31"/>
  <c r="M52" i="31"/>
  <c r="L52" i="31"/>
  <c r="M49" i="31"/>
  <c r="M50" i="31"/>
  <c r="M51" i="31"/>
  <c r="G46" i="31"/>
  <c r="K47" i="31"/>
  <c r="L49" i="31"/>
  <c r="K49" i="31" s="1"/>
  <c r="Q49" i="31"/>
  <c r="Q50" i="31"/>
  <c r="P24" i="31"/>
  <c r="L24" i="31"/>
  <c r="H26" i="31"/>
  <c r="H24" i="31"/>
  <c r="H22" i="31"/>
  <c r="H18" i="36"/>
  <c r="G18" i="36"/>
  <c r="F18" i="36"/>
  <c r="F64" i="36" s="1"/>
  <c r="F66" i="36" s="1"/>
  <c r="P136" i="31" l="1"/>
  <c r="O136" i="31"/>
  <c r="H46" i="26"/>
  <c r="G46" i="26"/>
  <c r="I46" i="26"/>
  <c r="G49" i="31"/>
  <c r="G8" i="26"/>
  <c r="H52" i="26"/>
  <c r="H54" i="26" s="1"/>
  <c r="G52" i="26"/>
  <c r="G54" i="26" s="1"/>
  <c r="G48" i="26"/>
  <c r="O157" i="31"/>
  <c r="P161" i="31"/>
  <c r="I52" i="26" s="1"/>
  <c r="I54" i="26" s="1"/>
  <c r="G157" i="31"/>
  <c r="G158" i="31"/>
  <c r="L159" i="31"/>
  <c r="K159" i="31" s="1"/>
  <c r="G159" i="31"/>
  <c r="H166" i="31"/>
  <c r="H47" i="26"/>
  <c r="G156" i="31"/>
  <c r="K161" i="31"/>
  <c r="G161" i="31"/>
  <c r="O139" i="31"/>
  <c r="L126" i="31"/>
  <c r="P126" i="31" s="1"/>
  <c r="O126" i="31" s="1"/>
  <c r="G124" i="31"/>
  <c r="G141" i="31"/>
  <c r="G145" i="31"/>
  <c r="G140" i="31"/>
  <c r="G132" i="31"/>
  <c r="G130" i="31"/>
  <c r="L122" i="31"/>
  <c r="G142" i="31"/>
  <c r="L127" i="31"/>
  <c r="G125" i="31"/>
  <c r="G143" i="31"/>
  <c r="O135" i="31"/>
  <c r="K133" i="31"/>
  <c r="G131" i="31"/>
  <c r="G144" i="31"/>
  <c r="L121" i="31"/>
  <c r="P121" i="31" s="1"/>
  <c r="L90" i="31"/>
  <c r="G90" i="31"/>
  <c r="G47" i="31"/>
  <c r="G52" i="31"/>
  <c r="G70" i="31"/>
  <c r="G77" i="31"/>
  <c r="P77" i="31"/>
  <c r="O77" i="31" s="1"/>
  <c r="K77" i="31"/>
  <c r="G71" i="31"/>
  <c r="K71" i="31"/>
  <c r="O71" i="31"/>
  <c r="G74" i="31"/>
  <c r="P74" i="31"/>
  <c r="O74" i="31" s="1"/>
  <c r="K73" i="31"/>
  <c r="P73" i="31"/>
  <c r="O73" i="31" s="1"/>
  <c r="G73" i="31"/>
  <c r="P72" i="31"/>
  <c r="O72" i="31" s="1"/>
  <c r="K72" i="31"/>
  <c r="G72" i="31"/>
  <c r="P75" i="31"/>
  <c r="O75" i="31" s="1"/>
  <c r="K75" i="31"/>
  <c r="G75" i="31"/>
  <c r="P70" i="31"/>
  <c r="O70" i="31" s="1"/>
  <c r="K70" i="31"/>
  <c r="G76" i="31"/>
  <c r="G50" i="31"/>
  <c r="L50" i="31"/>
  <c r="K50" i="31" s="1"/>
  <c r="K46" i="31"/>
  <c r="P52" i="31"/>
  <c r="O52" i="31" s="1"/>
  <c r="K52" i="31"/>
  <c r="P49" i="31"/>
  <c r="O49" i="31" s="1"/>
  <c r="O47" i="31"/>
  <c r="G12" i="31"/>
  <c r="D10" i="31"/>
  <c r="O11" i="31"/>
  <c r="O12" i="31"/>
  <c r="O13" i="31"/>
  <c r="O14" i="31"/>
  <c r="O15" i="31"/>
  <c r="O16" i="31"/>
  <c r="O18" i="31"/>
  <c r="O24" i="31"/>
  <c r="K11" i="31"/>
  <c r="K12" i="31"/>
  <c r="K13" i="31"/>
  <c r="K14" i="31"/>
  <c r="K15" i="31"/>
  <c r="K16" i="31"/>
  <c r="K18" i="31"/>
  <c r="K20" i="31"/>
  <c r="K21" i="31"/>
  <c r="K22" i="31"/>
  <c r="K24" i="31"/>
  <c r="G11" i="31"/>
  <c r="G13" i="31"/>
  <c r="G14" i="31"/>
  <c r="G15" i="31"/>
  <c r="G16" i="31"/>
  <c r="G18" i="31"/>
  <c r="G20" i="31"/>
  <c r="G21" i="31"/>
  <c r="G22" i="31"/>
  <c r="D19" i="31"/>
  <c r="D17" i="31"/>
  <c r="D26" i="31"/>
  <c r="G26" i="31" s="1"/>
  <c r="D25" i="31"/>
  <c r="O132" i="31" l="1"/>
  <c r="L125" i="31"/>
  <c r="P125" i="31" s="1"/>
  <c r="O125" i="31" s="1"/>
  <c r="G127" i="31"/>
  <c r="L130" i="31"/>
  <c r="P130" i="31" s="1"/>
  <c r="O130" i="31" s="1"/>
  <c r="G126" i="31"/>
  <c r="K157" i="31"/>
  <c r="G135" i="31"/>
  <c r="K90" i="31"/>
  <c r="K126" i="31"/>
  <c r="K158" i="31"/>
  <c r="H48" i="26"/>
  <c r="O161" i="31"/>
  <c r="K156" i="31"/>
  <c r="K139" i="31"/>
  <c r="G122" i="31"/>
  <c r="K131" i="31"/>
  <c r="G139" i="31"/>
  <c r="P158" i="31"/>
  <c r="G137" i="31"/>
  <c r="G166" i="31"/>
  <c r="I47" i="26"/>
  <c r="L166" i="31"/>
  <c r="P159" i="31"/>
  <c r="O159" i="31" s="1"/>
  <c r="L124" i="31"/>
  <c r="K124" i="31" s="1"/>
  <c r="O133" i="31"/>
  <c r="G133" i="31"/>
  <c r="K144" i="31"/>
  <c r="K140" i="31"/>
  <c r="K135" i="31"/>
  <c r="G128" i="31"/>
  <c r="K143" i="31"/>
  <c r="G138" i="31"/>
  <c r="K145" i="31"/>
  <c r="G129" i="31"/>
  <c r="G123" i="31"/>
  <c r="L123" i="31"/>
  <c r="K142" i="31"/>
  <c r="G134" i="31"/>
  <c r="K141" i="31"/>
  <c r="O137" i="31"/>
  <c r="K137" i="31"/>
  <c r="P127" i="31"/>
  <c r="O127" i="31" s="1"/>
  <c r="K127" i="31"/>
  <c r="P122" i="31"/>
  <c r="O122" i="31" s="1"/>
  <c r="K122" i="31"/>
  <c r="P90" i="31"/>
  <c r="P76" i="31"/>
  <c r="O76" i="31" s="1"/>
  <c r="K76" i="31"/>
  <c r="K19" i="31"/>
  <c r="G19" i="31"/>
  <c r="P50" i="31"/>
  <c r="O50" i="31" s="1"/>
  <c r="O46" i="31"/>
  <c r="G24" i="31"/>
  <c r="D23" i="31"/>
  <c r="D55" i="34"/>
  <c r="D59" i="33"/>
  <c r="AC86" i="34"/>
  <c r="Y86" i="34"/>
  <c r="U86" i="34"/>
  <c r="Q86" i="34"/>
  <c r="M86" i="34"/>
  <c r="I86" i="34"/>
  <c r="H86" i="34" s="1"/>
  <c r="D86" i="34"/>
  <c r="G86" i="34" s="1"/>
  <c r="AC85" i="34"/>
  <c r="Y85" i="34"/>
  <c r="U85" i="34"/>
  <c r="Q85" i="34"/>
  <c r="M85" i="34"/>
  <c r="I85" i="34"/>
  <c r="H85" i="34" s="1"/>
  <c r="AC84" i="34"/>
  <c r="Y84" i="34"/>
  <c r="U84" i="34"/>
  <c r="Q84" i="34"/>
  <c r="M84" i="34"/>
  <c r="I84" i="34"/>
  <c r="H84" i="34" s="1"/>
  <c r="AC83" i="34"/>
  <c r="Y83" i="34"/>
  <c r="U83" i="34"/>
  <c r="Q83" i="34"/>
  <c r="M83" i="34"/>
  <c r="I83" i="34"/>
  <c r="H83" i="34" s="1"/>
  <c r="AC82" i="34"/>
  <c r="Y82" i="34"/>
  <c r="U82" i="34"/>
  <c r="Q82" i="34"/>
  <c r="M82" i="34"/>
  <c r="I82" i="34"/>
  <c r="H82" i="34" s="1"/>
  <c r="AC81" i="34"/>
  <c r="Y81" i="34"/>
  <c r="U81" i="34"/>
  <c r="Q81" i="34"/>
  <c r="M81" i="34"/>
  <c r="I81" i="34"/>
  <c r="H81" i="34" s="1"/>
  <c r="AC80" i="34"/>
  <c r="Y80" i="34"/>
  <c r="U80" i="34"/>
  <c r="Q80" i="34"/>
  <c r="M80" i="34"/>
  <c r="I80" i="34"/>
  <c r="H80" i="34" s="1"/>
  <c r="AC79" i="34"/>
  <c r="Y79" i="34"/>
  <c r="U79" i="34"/>
  <c r="Q79" i="34"/>
  <c r="M79" i="34"/>
  <c r="I79" i="34"/>
  <c r="H79" i="34" s="1"/>
  <c r="AC78" i="34"/>
  <c r="Y78" i="34"/>
  <c r="U78" i="34"/>
  <c r="Q78" i="34"/>
  <c r="M78" i="34"/>
  <c r="I78" i="34"/>
  <c r="H78" i="34" s="1"/>
  <c r="AC77" i="34"/>
  <c r="Y77" i="34"/>
  <c r="U77" i="34"/>
  <c r="Q77" i="34"/>
  <c r="M77" i="34"/>
  <c r="I77" i="34"/>
  <c r="H77" i="34" s="1"/>
  <c r="AC76" i="34"/>
  <c r="Y76" i="34"/>
  <c r="U76" i="34"/>
  <c r="Q76" i="34"/>
  <c r="M76" i="34"/>
  <c r="I76" i="34"/>
  <c r="H76" i="34" s="1"/>
  <c r="AC75" i="34"/>
  <c r="Y75" i="34"/>
  <c r="U75" i="34"/>
  <c r="Q75" i="34"/>
  <c r="M75" i="34"/>
  <c r="I75" i="34"/>
  <c r="H75" i="34" s="1"/>
  <c r="AC74" i="34"/>
  <c r="Y74" i="34"/>
  <c r="U74" i="34"/>
  <c r="D71" i="34"/>
  <c r="AC70" i="34"/>
  <c r="Y70" i="34"/>
  <c r="U70" i="34"/>
  <c r="Q70" i="34"/>
  <c r="M70" i="34"/>
  <c r="I70" i="34"/>
  <c r="H70" i="34" s="1"/>
  <c r="G70" i="34"/>
  <c r="Q69" i="34"/>
  <c r="M69" i="34"/>
  <c r="I69" i="34"/>
  <c r="H69" i="34" s="1"/>
  <c r="G69" i="34"/>
  <c r="Q68" i="34"/>
  <c r="M68" i="34"/>
  <c r="I68" i="34"/>
  <c r="H68" i="34" s="1"/>
  <c r="G68" i="34"/>
  <c r="Q67" i="34"/>
  <c r="M67" i="34"/>
  <c r="I67" i="34"/>
  <c r="H67" i="34" s="1"/>
  <c r="G67" i="34"/>
  <c r="AC66" i="34"/>
  <c r="Y66" i="34"/>
  <c r="U66" i="34"/>
  <c r="Q66" i="34"/>
  <c r="M66" i="34"/>
  <c r="I66" i="34"/>
  <c r="H66" i="34" s="1"/>
  <c r="G66" i="34"/>
  <c r="AC65" i="34"/>
  <c r="Y65" i="34"/>
  <c r="U65" i="34"/>
  <c r="Q65" i="34"/>
  <c r="M65" i="34"/>
  <c r="I65" i="34"/>
  <c r="H65" i="34" s="1"/>
  <c r="G65" i="34"/>
  <c r="AC64" i="34"/>
  <c r="Y64" i="34"/>
  <c r="U64" i="34"/>
  <c r="Q64" i="34"/>
  <c r="M64" i="34"/>
  <c r="I64" i="34"/>
  <c r="H64" i="34" s="1"/>
  <c r="G64" i="34"/>
  <c r="AC63" i="34"/>
  <c r="Y63" i="34"/>
  <c r="U63" i="34"/>
  <c r="Q63" i="34"/>
  <c r="M63" i="34"/>
  <c r="I63" i="34"/>
  <c r="H63" i="34" s="1"/>
  <c r="G63" i="34"/>
  <c r="AC62" i="34"/>
  <c r="Y62" i="34"/>
  <c r="U62" i="34"/>
  <c r="Q62" i="34"/>
  <c r="M62" i="34"/>
  <c r="I62" i="34"/>
  <c r="H62" i="34" s="1"/>
  <c r="K62" i="34" s="1"/>
  <c r="G62" i="34"/>
  <c r="AC61" i="34"/>
  <c r="Y61" i="34"/>
  <c r="U61" i="34"/>
  <c r="G61" i="34"/>
  <c r="H53" i="34"/>
  <c r="K53" i="34" s="1"/>
  <c r="G53" i="34"/>
  <c r="AC52" i="34"/>
  <c r="Y52" i="34"/>
  <c r="U52" i="34"/>
  <c r="Q52" i="34"/>
  <c r="M52" i="34"/>
  <c r="I52" i="34"/>
  <c r="E52" i="34"/>
  <c r="AC51" i="34"/>
  <c r="Y51" i="34"/>
  <c r="U51" i="34"/>
  <c r="Q51" i="34"/>
  <c r="M51" i="34"/>
  <c r="I51" i="34"/>
  <c r="E51" i="34"/>
  <c r="AC50" i="34"/>
  <c r="Y50" i="34"/>
  <c r="U50" i="34"/>
  <c r="Q50" i="34"/>
  <c r="M50" i="34"/>
  <c r="I50" i="34"/>
  <c r="G50" i="34"/>
  <c r="AC49" i="34"/>
  <c r="Y49" i="34"/>
  <c r="U49" i="34"/>
  <c r="Q49" i="34"/>
  <c r="M49" i="34"/>
  <c r="I49" i="34"/>
  <c r="E49" i="34"/>
  <c r="AC48" i="34"/>
  <c r="Y48" i="34"/>
  <c r="U48" i="34"/>
  <c r="Q48" i="34"/>
  <c r="M48" i="34"/>
  <c r="I48" i="34"/>
  <c r="E48" i="34"/>
  <c r="AC47" i="34"/>
  <c r="Y47" i="34"/>
  <c r="U47" i="34"/>
  <c r="Q47" i="34"/>
  <c r="M47" i="34"/>
  <c r="I47" i="34"/>
  <c r="E47" i="34"/>
  <c r="U46" i="34"/>
  <c r="Q46" i="34"/>
  <c r="M46" i="34"/>
  <c r="I46" i="34"/>
  <c r="E46" i="34"/>
  <c r="D43" i="34"/>
  <c r="AC41" i="34"/>
  <c r="Y41" i="34"/>
  <c r="U41" i="34"/>
  <c r="Q41" i="34"/>
  <c r="M41" i="34"/>
  <c r="I41" i="34"/>
  <c r="H41" i="34"/>
  <c r="L41" i="34" s="1"/>
  <c r="O41" i="34" s="1"/>
  <c r="G41" i="34"/>
  <c r="AC40" i="34"/>
  <c r="Y40" i="34"/>
  <c r="U40" i="34"/>
  <c r="Q40" i="34"/>
  <c r="M40" i="34"/>
  <c r="I40" i="34"/>
  <c r="H40" i="34"/>
  <c r="G40" i="34"/>
  <c r="AC39" i="34"/>
  <c r="Y39" i="34"/>
  <c r="U39" i="34"/>
  <c r="Q39" i="34"/>
  <c r="M39" i="34"/>
  <c r="I39" i="34"/>
  <c r="H39" i="34"/>
  <c r="L39" i="34" s="1"/>
  <c r="G39" i="34"/>
  <c r="AC38" i="34"/>
  <c r="Y38" i="34"/>
  <c r="U38" i="34"/>
  <c r="Q38" i="34"/>
  <c r="M38" i="34"/>
  <c r="I38" i="34"/>
  <c r="H38" i="34"/>
  <c r="G38" i="34"/>
  <c r="AC37" i="34"/>
  <c r="Y37" i="34"/>
  <c r="U37" i="34"/>
  <c r="Q37" i="34"/>
  <c r="M37" i="34"/>
  <c r="I37" i="34"/>
  <c r="H37" i="34"/>
  <c r="L37" i="34" s="1"/>
  <c r="O37" i="34" s="1"/>
  <c r="G37" i="34"/>
  <c r="AC36" i="34"/>
  <c r="Y36" i="34"/>
  <c r="U36" i="34"/>
  <c r="Q36" i="34"/>
  <c r="M36" i="34"/>
  <c r="I36" i="34"/>
  <c r="H36" i="34"/>
  <c r="L36" i="34" s="1"/>
  <c r="O36" i="34" s="1"/>
  <c r="G36" i="34"/>
  <c r="AC35" i="34"/>
  <c r="Y35" i="34"/>
  <c r="U35" i="34"/>
  <c r="T35" i="34"/>
  <c r="D32" i="34"/>
  <c r="O31" i="34"/>
  <c r="K31" i="34"/>
  <c r="G31" i="34"/>
  <c r="Q30" i="34"/>
  <c r="M30" i="34"/>
  <c r="I30" i="34"/>
  <c r="H30" i="34"/>
  <c r="L30" i="34" s="1"/>
  <c r="P30" i="34" s="1"/>
  <c r="G30" i="34"/>
  <c r="Q29" i="34"/>
  <c r="M29" i="34"/>
  <c r="L29" i="34"/>
  <c r="P29" i="34" s="1"/>
  <c r="I29" i="34"/>
  <c r="H29" i="34"/>
  <c r="K29" i="34" s="1"/>
  <c r="G29" i="34"/>
  <c r="AC28" i="34"/>
  <c r="Y28" i="34"/>
  <c r="U28" i="34"/>
  <c r="Q28" i="34"/>
  <c r="M28" i="34"/>
  <c r="I28" i="34"/>
  <c r="H28" i="34"/>
  <c r="K28" i="34" s="1"/>
  <c r="G28" i="34"/>
  <c r="AC27" i="34"/>
  <c r="Y27" i="34"/>
  <c r="U27" i="34"/>
  <c r="Q27" i="34"/>
  <c r="M27" i="34"/>
  <c r="I27" i="34"/>
  <c r="H27" i="34"/>
  <c r="L27" i="34" s="1"/>
  <c r="O27" i="34" s="1"/>
  <c r="G27" i="34"/>
  <c r="AC26" i="34"/>
  <c r="Y26" i="34"/>
  <c r="U26" i="34"/>
  <c r="Q26" i="34"/>
  <c r="M26" i="34"/>
  <c r="I26" i="34"/>
  <c r="H26" i="34"/>
  <c r="K26" i="34" s="1"/>
  <c r="G26" i="34"/>
  <c r="AC25" i="34"/>
  <c r="Y25" i="34"/>
  <c r="U25" i="34"/>
  <c r="Q25" i="34"/>
  <c r="M25" i="34"/>
  <c r="I25" i="34"/>
  <c r="H25" i="34"/>
  <c r="L25" i="34" s="1"/>
  <c r="G25" i="34"/>
  <c r="AC24" i="34"/>
  <c r="Y24" i="34"/>
  <c r="U24" i="34"/>
  <c r="Q24" i="34"/>
  <c r="M24" i="34"/>
  <c r="I24" i="34"/>
  <c r="H24" i="34"/>
  <c r="K24" i="34" s="1"/>
  <c r="G24" i="34"/>
  <c r="AC23" i="34"/>
  <c r="Y23" i="34"/>
  <c r="U23" i="34"/>
  <c r="Q23" i="34"/>
  <c r="M23" i="34"/>
  <c r="I23" i="34"/>
  <c r="H23" i="34"/>
  <c r="L23" i="34" s="1"/>
  <c r="G23" i="34"/>
  <c r="AC22" i="34"/>
  <c r="Y22" i="34"/>
  <c r="U22" i="34"/>
  <c r="Q22" i="34"/>
  <c r="M22" i="34"/>
  <c r="I22" i="34"/>
  <c r="H22" i="34"/>
  <c r="K22" i="34" s="1"/>
  <c r="G22" i="34"/>
  <c r="AC21" i="34"/>
  <c r="Y21" i="34"/>
  <c r="U21" i="34"/>
  <c r="H11" i="34"/>
  <c r="D11" i="34"/>
  <c r="AB10" i="34"/>
  <c r="AA10" i="34"/>
  <c r="X10" i="34"/>
  <c r="T10" i="34"/>
  <c r="W10" i="34" s="1"/>
  <c r="S10" i="34"/>
  <c r="P10" i="34"/>
  <c r="L10" i="34"/>
  <c r="K10" i="34"/>
  <c r="G10" i="34"/>
  <c r="T9" i="34"/>
  <c r="T11" i="34" s="1"/>
  <c r="G9" i="34"/>
  <c r="H6" i="34"/>
  <c r="L6" i="34" s="1"/>
  <c r="P6" i="34" s="1"/>
  <c r="T6" i="34" s="1"/>
  <c r="X6" i="34" s="1"/>
  <c r="AB6" i="34" s="1"/>
  <c r="AB3" i="34"/>
  <c r="AB9" i="34" s="1"/>
  <c r="AB11" i="34" s="1"/>
  <c r="X3" i="34"/>
  <c r="X9" i="34" s="1"/>
  <c r="T3" i="34"/>
  <c r="P3" i="34"/>
  <c r="L3" i="34"/>
  <c r="H3" i="34"/>
  <c r="D3" i="34"/>
  <c r="AC74" i="33"/>
  <c r="Y74" i="33"/>
  <c r="U74" i="33"/>
  <c r="D74" i="33"/>
  <c r="AC73" i="33"/>
  <c r="Y73" i="33"/>
  <c r="U73" i="33"/>
  <c r="AC72" i="33"/>
  <c r="Y72" i="33"/>
  <c r="U72" i="33"/>
  <c r="P72" i="33"/>
  <c r="AC71" i="33"/>
  <c r="Y71" i="33"/>
  <c r="U71" i="33"/>
  <c r="P71" i="33"/>
  <c r="AC70" i="33"/>
  <c r="Y70" i="33"/>
  <c r="U70" i="33"/>
  <c r="P70" i="33"/>
  <c r="AC69" i="33"/>
  <c r="Y69" i="33"/>
  <c r="U69" i="33"/>
  <c r="L69" i="33"/>
  <c r="P69" i="33" s="1"/>
  <c r="AC68" i="33"/>
  <c r="Y68" i="33"/>
  <c r="U68" i="33"/>
  <c r="L68" i="33"/>
  <c r="P68" i="33" s="1"/>
  <c r="AC67" i="33"/>
  <c r="Y67" i="33"/>
  <c r="U67" i="33"/>
  <c r="P67" i="33"/>
  <c r="AC66" i="33"/>
  <c r="Y66" i="33"/>
  <c r="U66" i="33"/>
  <c r="L66" i="33"/>
  <c r="P66" i="33" s="1"/>
  <c r="AC65" i="33"/>
  <c r="Y65" i="33"/>
  <c r="U65" i="33"/>
  <c r="AC64" i="33"/>
  <c r="Y64" i="33"/>
  <c r="U64" i="33"/>
  <c r="L64" i="33"/>
  <c r="P64" i="33" s="1"/>
  <c r="AC63" i="33"/>
  <c r="Y63" i="33"/>
  <c r="U63" i="33"/>
  <c r="P63" i="33"/>
  <c r="AC62" i="33"/>
  <c r="Y62" i="33"/>
  <c r="U62" i="33"/>
  <c r="AC58" i="33"/>
  <c r="Y58" i="33"/>
  <c r="U58" i="33"/>
  <c r="L58" i="33"/>
  <c r="P58" i="33" s="1"/>
  <c r="G58" i="33"/>
  <c r="L57" i="33"/>
  <c r="P57" i="33" s="1"/>
  <c r="G57" i="33"/>
  <c r="AC54" i="33"/>
  <c r="Y54" i="33"/>
  <c r="U54" i="33"/>
  <c r="AC53" i="33"/>
  <c r="Y53" i="33"/>
  <c r="U53" i="33"/>
  <c r="AC52" i="33"/>
  <c r="Y52" i="33"/>
  <c r="U52" i="33"/>
  <c r="AC51" i="33"/>
  <c r="Y51" i="33"/>
  <c r="U51" i="33"/>
  <c r="AC50" i="33"/>
  <c r="Y50" i="33"/>
  <c r="U50" i="33"/>
  <c r="G50" i="33"/>
  <c r="AC49" i="33"/>
  <c r="Y49" i="33"/>
  <c r="U49" i="33"/>
  <c r="L41" i="33"/>
  <c r="AC40" i="33"/>
  <c r="Y40" i="33"/>
  <c r="U40" i="33"/>
  <c r="Q40" i="33"/>
  <c r="M40" i="33"/>
  <c r="I40" i="33"/>
  <c r="E40" i="33"/>
  <c r="AC39" i="33"/>
  <c r="Y39" i="33"/>
  <c r="U39" i="33"/>
  <c r="Q39" i="33"/>
  <c r="M39" i="33"/>
  <c r="I39" i="33"/>
  <c r="E39" i="33"/>
  <c r="AC38" i="33"/>
  <c r="Y38" i="33"/>
  <c r="U38" i="33"/>
  <c r="AC37" i="33"/>
  <c r="Y37" i="33"/>
  <c r="U37" i="33"/>
  <c r="Q37" i="33"/>
  <c r="M37" i="33"/>
  <c r="I37" i="33"/>
  <c r="E37" i="33"/>
  <c r="AC36" i="33"/>
  <c r="Y36" i="33"/>
  <c r="U36" i="33"/>
  <c r="Q36" i="33"/>
  <c r="M36" i="33"/>
  <c r="I36" i="33"/>
  <c r="E36" i="33"/>
  <c r="AC35" i="33"/>
  <c r="Y35" i="33"/>
  <c r="U35" i="33"/>
  <c r="Q35" i="33"/>
  <c r="M35" i="33"/>
  <c r="I35" i="33"/>
  <c r="E35" i="33"/>
  <c r="U34" i="33"/>
  <c r="Q34" i="33"/>
  <c r="M34" i="33"/>
  <c r="I34" i="33"/>
  <c r="E34" i="33"/>
  <c r="D43" i="33"/>
  <c r="AC30" i="33"/>
  <c r="Y30" i="33"/>
  <c r="U30" i="33"/>
  <c r="AC29" i="33"/>
  <c r="Y29" i="33"/>
  <c r="U29" i="33"/>
  <c r="AC27" i="33"/>
  <c r="Y27" i="33"/>
  <c r="U27" i="33"/>
  <c r="D31" i="33"/>
  <c r="D24" i="33"/>
  <c r="AC23" i="33"/>
  <c r="Y23" i="33"/>
  <c r="U23" i="33"/>
  <c r="AC22" i="33"/>
  <c r="Y22" i="33"/>
  <c r="U22" i="33"/>
  <c r="G22" i="33"/>
  <c r="AC21" i="33"/>
  <c r="Y21" i="33"/>
  <c r="U21" i="33"/>
  <c r="H11" i="33"/>
  <c r="D11" i="33"/>
  <c r="AB10" i="33"/>
  <c r="X10" i="33"/>
  <c r="AA10" i="33" s="1"/>
  <c r="W10" i="33"/>
  <c r="T10" i="33"/>
  <c r="P10" i="33"/>
  <c r="S10" i="33" s="1"/>
  <c r="O10" i="33"/>
  <c r="L10" i="33"/>
  <c r="K10" i="33"/>
  <c r="G10" i="33"/>
  <c r="T9" i="33"/>
  <c r="G9" i="33"/>
  <c r="H6" i="33"/>
  <c r="L6" i="33" s="1"/>
  <c r="P6" i="33" s="1"/>
  <c r="T6" i="33" s="1"/>
  <c r="X6" i="33" s="1"/>
  <c r="AB6" i="33" s="1"/>
  <c r="AB3" i="33"/>
  <c r="AB9" i="33" s="1"/>
  <c r="AB11" i="33" s="1"/>
  <c r="X3" i="33"/>
  <c r="X9" i="33" s="1"/>
  <c r="T3" i="33"/>
  <c r="P3" i="33"/>
  <c r="L3" i="33"/>
  <c r="H3" i="33"/>
  <c r="D3" i="33"/>
  <c r="G88" i="32"/>
  <c r="G87" i="32"/>
  <c r="Q87" i="32"/>
  <c r="Q88" i="32"/>
  <c r="M87" i="32"/>
  <c r="M88" i="32"/>
  <c r="I87" i="32"/>
  <c r="H87" i="32" s="1"/>
  <c r="K87" i="32" s="1"/>
  <c r="G86" i="32"/>
  <c r="I88" i="32"/>
  <c r="AC88" i="32"/>
  <c r="Y88" i="32"/>
  <c r="U88" i="32"/>
  <c r="D88" i="32"/>
  <c r="AC85" i="32"/>
  <c r="Y85" i="32"/>
  <c r="U85" i="32"/>
  <c r="AC84" i="32"/>
  <c r="Y84" i="32"/>
  <c r="U84" i="32"/>
  <c r="AC83" i="32"/>
  <c r="Y83" i="32"/>
  <c r="U83" i="32"/>
  <c r="G83" i="32"/>
  <c r="AC82" i="32"/>
  <c r="Y82" i="32"/>
  <c r="U82" i="32"/>
  <c r="AC81" i="32"/>
  <c r="Y81" i="32"/>
  <c r="U81" i="32"/>
  <c r="G81" i="32"/>
  <c r="AC80" i="32"/>
  <c r="Y80" i="32"/>
  <c r="U80" i="32"/>
  <c r="AC79" i="32"/>
  <c r="Y79" i="32"/>
  <c r="U79" i="32"/>
  <c r="G79" i="32"/>
  <c r="AC78" i="32"/>
  <c r="Y78" i="32"/>
  <c r="U78" i="32"/>
  <c r="G78" i="32"/>
  <c r="AC77" i="32"/>
  <c r="Y77" i="32"/>
  <c r="U77" i="32"/>
  <c r="G77" i="32"/>
  <c r="AC76" i="32"/>
  <c r="Y76" i="32"/>
  <c r="U76" i="32"/>
  <c r="AC75" i="32"/>
  <c r="Y75" i="32"/>
  <c r="U75" i="32"/>
  <c r="M75" i="32"/>
  <c r="G75" i="32"/>
  <c r="AC74" i="32"/>
  <c r="Y74" i="32"/>
  <c r="U74" i="32"/>
  <c r="G74" i="32"/>
  <c r="D71" i="32"/>
  <c r="AC70" i="32"/>
  <c r="Y70" i="32"/>
  <c r="U70" i="32"/>
  <c r="Q70" i="32"/>
  <c r="M70" i="32"/>
  <c r="I70" i="32"/>
  <c r="H70" i="32" s="1"/>
  <c r="G70" i="32"/>
  <c r="Q69" i="32"/>
  <c r="M69" i="32"/>
  <c r="I69" i="32"/>
  <c r="H69" i="32" s="1"/>
  <c r="G69" i="32"/>
  <c r="AC66" i="32"/>
  <c r="Y66" i="32"/>
  <c r="U66" i="32"/>
  <c r="G66" i="32"/>
  <c r="AC65" i="32"/>
  <c r="Y65" i="32"/>
  <c r="U65" i="32"/>
  <c r="G65" i="32"/>
  <c r="AC64" i="32"/>
  <c r="Y64" i="32"/>
  <c r="U64" i="32"/>
  <c r="G64" i="32"/>
  <c r="AC63" i="32"/>
  <c r="Y63" i="32"/>
  <c r="U63" i="32"/>
  <c r="G63" i="32"/>
  <c r="AC62" i="32"/>
  <c r="Y62" i="32"/>
  <c r="U62" i="32"/>
  <c r="G62" i="32"/>
  <c r="AC61" i="32"/>
  <c r="Y61" i="32"/>
  <c r="U61" i="32"/>
  <c r="D55" i="32"/>
  <c r="L53" i="32"/>
  <c r="AC52" i="32"/>
  <c r="Y52" i="32"/>
  <c r="U52" i="32"/>
  <c r="Q52" i="32"/>
  <c r="M52" i="32"/>
  <c r="I52" i="32"/>
  <c r="E52" i="32"/>
  <c r="AC51" i="32"/>
  <c r="Y51" i="32"/>
  <c r="U51" i="32"/>
  <c r="Q51" i="32"/>
  <c r="M51" i="32"/>
  <c r="I51" i="32"/>
  <c r="E51" i="32"/>
  <c r="AC50" i="32"/>
  <c r="Y50" i="32"/>
  <c r="U50" i="32"/>
  <c r="Q50" i="32"/>
  <c r="M50" i="32"/>
  <c r="I50" i="32"/>
  <c r="G50" i="32" s="1"/>
  <c r="AC49" i="32"/>
  <c r="Y49" i="32"/>
  <c r="U49" i="32"/>
  <c r="Q49" i="32"/>
  <c r="M49" i="32"/>
  <c r="I49" i="32"/>
  <c r="E49" i="32"/>
  <c r="AC48" i="32"/>
  <c r="Y48" i="32"/>
  <c r="U48" i="32"/>
  <c r="Q48" i="32"/>
  <c r="M48" i="32"/>
  <c r="I48" i="32"/>
  <c r="E48" i="32"/>
  <c r="AC47" i="32"/>
  <c r="Y47" i="32"/>
  <c r="U47" i="32"/>
  <c r="Q47" i="32"/>
  <c r="M47" i="32"/>
  <c r="I47" i="32"/>
  <c r="E47" i="32"/>
  <c r="U46" i="32"/>
  <c r="Q46" i="32"/>
  <c r="M46" i="32"/>
  <c r="I46" i="32"/>
  <c r="G46" i="32"/>
  <c r="E46" i="32"/>
  <c r="D43" i="32"/>
  <c r="AC41" i="32"/>
  <c r="Y41" i="32"/>
  <c r="U41" i="32"/>
  <c r="Q41" i="32"/>
  <c r="M41" i="32"/>
  <c r="I41" i="32"/>
  <c r="H41" i="32"/>
  <c r="K41" i="32" s="1"/>
  <c r="G41" i="32"/>
  <c r="AC40" i="32"/>
  <c r="Y40" i="32"/>
  <c r="U40" i="32"/>
  <c r="Q40" i="32"/>
  <c r="M40" i="32"/>
  <c r="I40" i="32"/>
  <c r="H40" i="32"/>
  <c r="L40" i="32" s="1"/>
  <c r="P40" i="32" s="1"/>
  <c r="G40" i="32"/>
  <c r="AC39" i="32"/>
  <c r="Y39" i="32"/>
  <c r="U39" i="32"/>
  <c r="Q39" i="32"/>
  <c r="M39" i="32"/>
  <c r="I39" i="32"/>
  <c r="H39" i="32"/>
  <c r="K39" i="32" s="1"/>
  <c r="G39" i="32"/>
  <c r="AC38" i="32"/>
  <c r="Y38" i="32"/>
  <c r="U38" i="32"/>
  <c r="Q38" i="32"/>
  <c r="M38" i="32"/>
  <c r="I38" i="32"/>
  <c r="H38" i="32"/>
  <c r="K38" i="32" s="1"/>
  <c r="G38" i="32"/>
  <c r="AC37" i="32"/>
  <c r="Y37" i="32"/>
  <c r="U37" i="32"/>
  <c r="Q37" i="32"/>
  <c r="M37" i="32"/>
  <c r="G37" i="32"/>
  <c r="AC36" i="32"/>
  <c r="Y36" i="32"/>
  <c r="U36" i="32"/>
  <c r="Q36" i="32"/>
  <c r="M36" i="32"/>
  <c r="L36" i="32"/>
  <c r="AC35" i="32"/>
  <c r="Y35" i="32"/>
  <c r="U35" i="32"/>
  <c r="Q35" i="32"/>
  <c r="M35" i="32"/>
  <c r="D32" i="32"/>
  <c r="G32" i="32" s="1"/>
  <c r="O31" i="32"/>
  <c r="I31" i="32"/>
  <c r="H31" i="32"/>
  <c r="K31" i="32" s="1"/>
  <c r="G31" i="32"/>
  <c r="Q30" i="32"/>
  <c r="M30" i="32"/>
  <c r="I30" i="32"/>
  <c r="H30" i="32"/>
  <c r="K30" i="32" s="1"/>
  <c r="G30" i="32"/>
  <c r="Q29" i="32"/>
  <c r="M29" i="32"/>
  <c r="I29" i="32"/>
  <c r="H29" i="32"/>
  <c r="K29" i="32" s="1"/>
  <c r="G29" i="32"/>
  <c r="AC28" i="32"/>
  <c r="Y28" i="32"/>
  <c r="U28" i="32"/>
  <c r="Q28" i="32"/>
  <c r="M28" i="32"/>
  <c r="I28" i="32"/>
  <c r="H28" i="32"/>
  <c r="K28" i="32" s="1"/>
  <c r="G28" i="32"/>
  <c r="AC27" i="32"/>
  <c r="Y27" i="32"/>
  <c r="U27" i="32"/>
  <c r="Q27" i="32"/>
  <c r="M27" i="32"/>
  <c r="I27" i="32"/>
  <c r="H27" i="32"/>
  <c r="L27" i="32" s="1"/>
  <c r="G27" i="32"/>
  <c r="AC26" i="32"/>
  <c r="Y26" i="32"/>
  <c r="U26" i="32"/>
  <c r="Q26" i="32"/>
  <c r="M26" i="32"/>
  <c r="I26" i="32"/>
  <c r="H26" i="32"/>
  <c r="K26" i="32" s="1"/>
  <c r="G26" i="32"/>
  <c r="AC25" i="32"/>
  <c r="Y25" i="32"/>
  <c r="U25" i="32"/>
  <c r="Q25" i="32"/>
  <c r="M25" i="32"/>
  <c r="I25" i="32"/>
  <c r="H25" i="32"/>
  <c r="L25" i="32" s="1"/>
  <c r="G25" i="32"/>
  <c r="AC24" i="32"/>
  <c r="Y24" i="32"/>
  <c r="U24" i="32"/>
  <c r="Q24" i="32"/>
  <c r="M24" i="32"/>
  <c r="I24" i="32"/>
  <c r="H24" i="32"/>
  <c r="K24" i="32" s="1"/>
  <c r="G24" i="32"/>
  <c r="AC23" i="32"/>
  <c r="Y23" i="32"/>
  <c r="U23" i="32"/>
  <c r="Q23" i="32"/>
  <c r="M23" i="32"/>
  <c r="I23" i="32"/>
  <c r="H23" i="32"/>
  <c r="L23" i="32" s="1"/>
  <c r="G23" i="32"/>
  <c r="AC22" i="32"/>
  <c r="Y22" i="32"/>
  <c r="U22" i="32"/>
  <c r="Q22" i="32"/>
  <c r="M22" i="32"/>
  <c r="I22" i="32"/>
  <c r="H22" i="32"/>
  <c r="L22" i="32" s="1"/>
  <c r="G22" i="32"/>
  <c r="AC21" i="32"/>
  <c r="Y21" i="32"/>
  <c r="U21" i="32"/>
  <c r="Q21" i="32"/>
  <c r="M21" i="32"/>
  <c r="I21" i="32"/>
  <c r="H21" i="32"/>
  <c r="L21" i="32" s="1"/>
  <c r="G21" i="32"/>
  <c r="P11" i="32"/>
  <c r="H11" i="32"/>
  <c r="D11" i="32"/>
  <c r="AB10" i="32"/>
  <c r="X10" i="32"/>
  <c r="AA10" i="32" s="1"/>
  <c r="T10" i="32"/>
  <c r="W10" i="32" s="1"/>
  <c r="S10" i="32"/>
  <c r="K10" i="32"/>
  <c r="G10" i="32"/>
  <c r="X9" i="32"/>
  <c r="AA9" i="32" s="1"/>
  <c r="O9" i="32"/>
  <c r="K9" i="32"/>
  <c r="G9" i="32"/>
  <c r="L6" i="32"/>
  <c r="P6" i="32" s="1"/>
  <c r="T6" i="32" s="1"/>
  <c r="X6" i="32" s="1"/>
  <c r="AB6" i="32" s="1"/>
  <c r="H6" i="32"/>
  <c r="AB3" i="32"/>
  <c r="AB9" i="32" s="1"/>
  <c r="AB11" i="32" s="1"/>
  <c r="X3" i="32"/>
  <c r="T3" i="32"/>
  <c r="T9" i="32" s="1"/>
  <c r="T11" i="32" s="1"/>
  <c r="P3" i="32"/>
  <c r="L3" i="32"/>
  <c r="H3" i="32"/>
  <c r="D3" i="32"/>
  <c r="AC121" i="31"/>
  <c r="Y121" i="31"/>
  <c r="U121" i="31"/>
  <c r="G121" i="31"/>
  <c r="AC120" i="31"/>
  <c r="Y120" i="31"/>
  <c r="U120" i="31"/>
  <c r="Q120" i="31"/>
  <c r="M120" i="31"/>
  <c r="AC119" i="31"/>
  <c r="Y119" i="31"/>
  <c r="U119" i="31"/>
  <c r="Q119" i="31"/>
  <c r="M119" i="31"/>
  <c r="AC118" i="31"/>
  <c r="Y118" i="31"/>
  <c r="U118" i="31"/>
  <c r="Q118" i="31"/>
  <c r="M118" i="31"/>
  <c r="AC117" i="31"/>
  <c r="Y117" i="31"/>
  <c r="U117" i="31"/>
  <c r="Q117" i="31"/>
  <c r="M117" i="31"/>
  <c r="AC116" i="31"/>
  <c r="Y116" i="31"/>
  <c r="U116" i="31"/>
  <c r="Q116" i="31"/>
  <c r="M116" i="31"/>
  <c r="AC115" i="31"/>
  <c r="Y115" i="31"/>
  <c r="U115" i="31"/>
  <c r="Q115" i="31"/>
  <c r="M115" i="31"/>
  <c r="AC114" i="31"/>
  <c r="Y114" i="31"/>
  <c r="U114" i="31"/>
  <c r="Q114" i="31"/>
  <c r="M114" i="31"/>
  <c r="AC113" i="31"/>
  <c r="Y113" i="31"/>
  <c r="U113" i="31"/>
  <c r="Q113" i="31"/>
  <c r="M113" i="31"/>
  <c r="AC112" i="31"/>
  <c r="Y112" i="31"/>
  <c r="U112" i="31"/>
  <c r="Q112" i="31"/>
  <c r="M112" i="31"/>
  <c r="AC111" i="31"/>
  <c r="Y111" i="31"/>
  <c r="U111" i="31"/>
  <c r="Q111" i="31"/>
  <c r="M111" i="31"/>
  <c r="AC110" i="31"/>
  <c r="Y110" i="31"/>
  <c r="U110" i="31"/>
  <c r="AC106" i="31"/>
  <c r="Y106" i="31"/>
  <c r="U106" i="31"/>
  <c r="Q106" i="31"/>
  <c r="I106" i="31"/>
  <c r="H106" i="31" s="1"/>
  <c r="G106" i="31"/>
  <c r="Q105" i="31"/>
  <c r="I105" i="31"/>
  <c r="H105" i="31" s="1"/>
  <c r="G105" i="31"/>
  <c r="Q104" i="31"/>
  <c r="I104" i="31"/>
  <c r="H104" i="31" s="1"/>
  <c r="AC102" i="31"/>
  <c r="Y102" i="31"/>
  <c r="U102" i="31"/>
  <c r="G102" i="31"/>
  <c r="AC101" i="31"/>
  <c r="Y101" i="31"/>
  <c r="U101" i="31"/>
  <c r="AC100" i="31"/>
  <c r="Y100" i="31"/>
  <c r="U100" i="31"/>
  <c r="G100" i="31"/>
  <c r="AC99" i="31"/>
  <c r="Y99" i="31"/>
  <c r="U99" i="31"/>
  <c r="AC98" i="31"/>
  <c r="Y98" i="31"/>
  <c r="U98" i="31"/>
  <c r="AC97" i="31"/>
  <c r="Y97" i="31"/>
  <c r="U97" i="31"/>
  <c r="G97" i="31"/>
  <c r="G89" i="31"/>
  <c r="AC88" i="31"/>
  <c r="Y88" i="31"/>
  <c r="U88" i="31"/>
  <c r="Q88" i="31"/>
  <c r="M88" i="31"/>
  <c r="I88" i="31"/>
  <c r="E88" i="31"/>
  <c r="AC87" i="31"/>
  <c r="Y87" i="31"/>
  <c r="U87" i="31"/>
  <c r="Q87" i="31"/>
  <c r="M87" i="31"/>
  <c r="I87" i="31"/>
  <c r="E87" i="31"/>
  <c r="AC86" i="31"/>
  <c r="Y86" i="31"/>
  <c r="U86" i="31"/>
  <c r="Q86" i="31"/>
  <c r="M86" i="31"/>
  <c r="AC85" i="31"/>
  <c r="Y85" i="31"/>
  <c r="U85" i="31"/>
  <c r="Q85" i="31"/>
  <c r="M85" i="31"/>
  <c r="I85" i="31"/>
  <c r="E85" i="31"/>
  <c r="AC84" i="31"/>
  <c r="Y84" i="31"/>
  <c r="U84" i="31"/>
  <c r="Q84" i="31"/>
  <c r="M84" i="31"/>
  <c r="I84" i="31"/>
  <c r="E84" i="31"/>
  <c r="AC83" i="31"/>
  <c r="Y83" i="31"/>
  <c r="U83" i="31"/>
  <c r="Q83" i="31"/>
  <c r="M83" i="31"/>
  <c r="E83" i="31"/>
  <c r="U82" i="31"/>
  <c r="Q82" i="31"/>
  <c r="M82" i="31"/>
  <c r="E82" i="31"/>
  <c r="AC69" i="31"/>
  <c r="Y69" i="31"/>
  <c r="U69" i="31"/>
  <c r="Q69" i="31"/>
  <c r="G69" i="31"/>
  <c r="AC68" i="31"/>
  <c r="Y68" i="31"/>
  <c r="U68" i="31"/>
  <c r="AC67" i="31"/>
  <c r="Y67" i="31"/>
  <c r="U67" i="31"/>
  <c r="G55" i="31"/>
  <c r="AC53" i="31"/>
  <c r="Y53" i="31"/>
  <c r="U53" i="31"/>
  <c r="L53" i="31"/>
  <c r="P53" i="31" s="1"/>
  <c r="AC51" i="31"/>
  <c r="Y51" i="31"/>
  <c r="U51" i="31"/>
  <c r="Q51" i="31"/>
  <c r="G51" i="31"/>
  <c r="AC45" i="31"/>
  <c r="Y45" i="31"/>
  <c r="U45" i="31"/>
  <c r="AC44" i="31"/>
  <c r="Y44" i="31"/>
  <c r="U44" i="31"/>
  <c r="Q44" i="31"/>
  <c r="M44" i="31"/>
  <c r="G44" i="31"/>
  <c r="AC43" i="31"/>
  <c r="Y43" i="31"/>
  <c r="U43" i="31"/>
  <c r="Q43" i="31"/>
  <c r="M43" i="31"/>
  <c r="L43" i="31"/>
  <c r="AC42" i="31"/>
  <c r="Y42" i="31"/>
  <c r="U42" i="31"/>
  <c r="Q42" i="31"/>
  <c r="M42" i="31"/>
  <c r="L42" i="31"/>
  <c r="P42" i="31" s="1"/>
  <c r="AC41" i="31"/>
  <c r="Y41" i="31"/>
  <c r="U41" i="31"/>
  <c r="Q41" i="31"/>
  <c r="M41" i="31"/>
  <c r="AC39" i="31"/>
  <c r="Y39" i="31"/>
  <c r="U39" i="31"/>
  <c r="Q39" i="31"/>
  <c r="M39" i="31"/>
  <c r="L39" i="31"/>
  <c r="AB25" i="31"/>
  <c r="X25" i="31"/>
  <c r="AA25" i="31" s="1"/>
  <c r="T25" i="31"/>
  <c r="W25" i="31" s="1"/>
  <c r="H6" i="31"/>
  <c r="L6" i="31" s="1"/>
  <c r="P6" i="31" s="1"/>
  <c r="T6" i="31" s="1"/>
  <c r="X6" i="31" s="1"/>
  <c r="AB6" i="31" s="1"/>
  <c r="AB3" i="31"/>
  <c r="AB9" i="31" s="1"/>
  <c r="X3" i="31"/>
  <c r="X9" i="31" s="1"/>
  <c r="T3" i="31"/>
  <c r="T9" i="31" s="1"/>
  <c r="P3" i="31"/>
  <c r="L3" i="31"/>
  <c r="H3" i="31"/>
  <c r="D3" i="31"/>
  <c r="L104" i="31" l="1"/>
  <c r="H107" i="31"/>
  <c r="L56" i="33"/>
  <c r="L59" i="33" s="1"/>
  <c r="D13" i="33"/>
  <c r="G13" i="33" s="1"/>
  <c r="AB13" i="33" s="1"/>
  <c r="AB95" i="33" s="1"/>
  <c r="K40" i="32"/>
  <c r="G21" i="34"/>
  <c r="D13" i="34"/>
  <c r="G13" i="34" s="1"/>
  <c r="AB13" i="34" s="1"/>
  <c r="L9" i="34"/>
  <c r="L11" i="34" s="1"/>
  <c r="G10" i="31"/>
  <c r="G56" i="31"/>
  <c r="G17" i="31"/>
  <c r="G10" i="26"/>
  <c r="G12" i="26" s="1"/>
  <c r="D29" i="31"/>
  <c r="L89" i="31"/>
  <c r="F10" i="26"/>
  <c r="K55" i="31"/>
  <c r="I48" i="26"/>
  <c r="H64" i="31"/>
  <c r="P13" i="32"/>
  <c r="S13" i="32" s="1"/>
  <c r="H13" i="32"/>
  <c r="H103" i="32" s="1"/>
  <c r="G23" i="36"/>
  <c r="G64" i="36" s="1"/>
  <c r="H8" i="26"/>
  <c r="O131" i="31"/>
  <c r="K132" i="31"/>
  <c r="K130" i="31"/>
  <c r="L85" i="34"/>
  <c r="L65" i="34"/>
  <c r="P124" i="31"/>
  <c r="O124" i="31" s="1"/>
  <c r="K125" i="31"/>
  <c r="G85" i="32"/>
  <c r="L67" i="34"/>
  <c r="L75" i="34"/>
  <c r="P75" i="34" s="1"/>
  <c r="L77" i="34"/>
  <c r="L83" i="34"/>
  <c r="P83" i="34" s="1"/>
  <c r="O83" i="34" s="1"/>
  <c r="O80" i="32"/>
  <c r="L64" i="34"/>
  <c r="O64" i="34" s="1"/>
  <c r="L70" i="32"/>
  <c r="P70" i="32" s="1"/>
  <c r="K70" i="32"/>
  <c r="L81" i="34"/>
  <c r="L66" i="34"/>
  <c r="P66" i="34" s="1"/>
  <c r="K66" i="34"/>
  <c r="L69" i="34"/>
  <c r="O69" i="34" s="1"/>
  <c r="K69" i="34"/>
  <c r="G73" i="33"/>
  <c r="P73" i="33"/>
  <c r="L79" i="34"/>
  <c r="O79" i="34" s="1"/>
  <c r="O84" i="32"/>
  <c r="K25" i="32"/>
  <c r="L29" i="32"/>
  <c r="P29" i="32" s="1"/>
  <c r="K21" i="32"/>
  <c r="K23" i="32"/>
  <c r="K27" i="32"/>
  <c r="L105" i="31"/>
  <c r="L106" i="31" s="1"/>
  <c r="O90" i="31"/>
  <c r="O158" i="31"/>
  <c r="O156" i="31"/>
  <c r="K38" i="33"/>
  <c r="K52" i="33"/>
  <c r="O57" i="33"/>
  <c r="K57" i="33"/>
  <c r="G74" i="33"/>
  <c r="T156" i="31"/>
  <c r="P166" i="31"/>
  <c r="L118" i="31"/>
  <c r="P118" i="31" s="1"/>
  <c r="O118" i="31" s="1"/>
  <c r="K166" i="31"/>
  <c r="O142" i="31"/>
  <c r="O143" i="31"/>
  <c r="O141" i="31"/>
  <c r="O129" i="31"/>
  <c r="K129" i="31"/>
  <c r="O138" i="31"/>
  <c r="O140" i="31"/>
  <c r="O134" i="31"/>
  <c r="K134" i="31"/>
  <c r="K123" i="31"/>
  <c r="P123" i="31"/>
  <c r="O123" i="31" s="1"/>
  <c r="K138" i="31"/>
  <c r="K128" i="31"/>
  <c r="O128" i="31"/>
  <c r="O145" i="31"/>
  <c r="O144" i="31"/>
  <c r="L69" i="31"/>
  <c r="K69" i="31" s="1"/>
  <c r="G54" i="31"/>
  <c r="G53" i="31"/>
  <c r="K23" i="31"/>
  <c r="L17" i="31"/>
  <c r="K17" i="31"/>
  <c r="L51" i="31"/>
  <c r="G43" i="31"/>
  <c r="G42" i="31"/>
  <c r="G41" i="31"/>
  <c r="G39" i="31"/>
  <c r="L41" i="31"/>
  <c r="P41" i="31" s="1"/>
  <c r="T41" i="31" s="1"/>
  <c r="X41" i="31" s="1"/>
  <c r="W41" i="31" s="1"/>
  <c r="G23" i="31"/>
  <c r="AB29" i="31"/>
  <c r="O54" i="31"/>
  <c r="K54" i="31"/>
  <c r="L114" i="31"/>
  <c r="P114" i="31" s="1"/>
  <c r="L120" i="31"/>
  <c r="K120" i="31" s="1"/>
  <c r="L86" i="31"/>
  <c r="T97" i="31"/>
  <c r="X97" i="31" s="1"/>
  <c r="W97" i="31" s="1"/>
  <c r="L116" i="31"/>
  <c r="P116" i="31" s="1"/>
  <c r="L26" i="34"/>
  <c r="P26" i="34" s="1"/>
  <c r="T26" i="34" s="1"/>
  <c r="W26" i="34" s="1"/>
  <c r="K64" i="34"/>
  <c r="K37" i="34"/>
  <c r="O23" i="34"/>
  <c r="P23" i="34"/>
  <c r="S23" i="34" s="1"/>
  <c r="K23" i="34"/>
  <c r="L24" i="34"/>
  <c r="P24" i="34" s="1"/>
  <c r="T24" i="34" s="1"/>
  <c r="W24" i="34" s="1"/>
  <c r="G35" i="34"/>
  <c r="O21" i="34"/>
  <c r="K21" i="34"/>
  <c r="O39" i="34"/>
  <c r="P39" i="34"/>
  <c r="T39" i="34" s="1"/>
  <c r="O25" i="34"/>
  <c r="P25" i="34"/>
  <c r="S25" i="34" s="1"/>
  <c r="K41" i="34"/>
  <c r="K25" i="34"/>
  <c r="K27" i="34"/>
  <c r="K36" i="34"/>
  <c r="K39" i="34"/>
  <c r="H43" i="34"/>
  <c r="G48" i="34" s="1"/>
  <c r="L50" i="34"/>
  <c r="O29" i="34"/>
  <c r="K35" i="34"/>
  <c r="P36" i="34"/>
  <c r="S36" i="34" s="1"/>
  <c r="K49" i="33"/>
  <c r="G54" i="33"/>
  <c r="G52" i="33"/>
  <c r="L11" i="33"/>
  <c r="M11" i="33" s="1"/>
  <c r="K9" i="33"/>
  <c r="T13" i="34"/>
  <c r="T15" i="34" s="1"/>
  <c r="W15" i="34" s="1"/>
  <c r="W11" i="34"/>
  <c r="AA9" i="34"/>
  <c r="X11" i="34"/>
  <c r="X24" i="34"/>
  <c r="X26" i="34"/>
  <c r="D101" i="34"/>
  <c r="O10" i="34"/>
  <c r="O26" i="34"/>
  <c r="W9" i="34"/>
  <c r="G11" i="34"/>
  <c r="O24" i="34"/>
  <c r="P27" i="34"/>
  <c r="L28" i="34"/>
  <c r="K30" i="34"/>
  <c r="K38" i="34"/>
  <c r="L38" i="34"/>
  <c r="L43" i="34" s="1"/>
  <c r="D57" i="34"/>
  <c r="H13" i="34"/>
  <c r="O30" i="34"/>
  <c r="X35" i="34"/>
  <c r="W35" i="34" s="1"/>
  <c r="K40" i="34"/>
  <c r="L40" i="34"/>
  <c r="L22" i="34"/>
  <c r="T25" i="34"/>
  <c r="H32" i="34"/>
  <c r="O35" i="34"/>
  <c r="S35" i="34"/>
  <c r="P37" i="34"/>
  <c r="P41" i="34"/>
  <c r="L53" i="34"/>
  <c r="P65" i="34"/>
  <c r="O65" i="34"/>
  <c r="L70" i="34"/>
  <c r="K70" i="34"/>
  <c r="L76" i="34"/>
  <c r="K76" i="34" s="1"/>
  <c r="G76" i="34"/>
  <c r="P81" i="34"/>
  <c r="O81" i="34"/>
  <c r="L84" i="34"/>
  <c r="G84" i="34"/>
  <c r="K84" i="34"/>
  <c r="P67" i="34"/>
  <c r="O67" i="34"/>
  <c r="L78" i="34"/>
  <c r="G78" i="34"/>
  <c r="K78" i="34"/>
  <c r="L62" i="34"/>
  <c r="K68" i="34"/>
  <c r="L68" i="34"/>
  <c r="P77" i="34"/>
  <c r="O77" i="34" s="1"/>
  <c r="L80" i="34"/>
  <c r="G80" i="34"/>
  <c r="K80" i="34"/>
  <c r="P85" i="34"/>
  <c r="O85" i="34"/>
  <c r="L86" i="34"/>
  <c r="K86" i="34"/>
  <c r="K61" i="34"/>
  <c r="H71" i="34"/>
  <c r="L63" i="34"/>
  <c r="K63" i="34"/>
  <c r="H87" i="34"/>
  <c r="K74" i="34"/>
  <c r="G74" i="34"/>
  <c r="L82" i="34"/>
  <c r="G82" i="34"/>
  <c r="D87" i="34"/>
  <c r="K65" i="34"/>
  <c r="K67" i="34"/>
  <c r="K75" i="34"/>
  <c r="K77" i="34"/>
  <c r="K79" i="34"/>
  <c r="K81" i="34"/>
  <c r="K83" i="34"/>
  <c r="K85" i="34"/>
  <c r="G75" i="34"/>
  <c r="G77" i="34"/>
  <c r="G79" i="34"/>
  <c r="G81" i="34"/>
  <c r="G83" i="34"/>
  <c r="G85" i="34"/>
  <c r="L22" i="33"/>
  <c r="AA9" i="33"/>
  <c r="X11" i="33"/>
  <c r="D95" i="33"/>
  <c r="G11" i="33"/>
  <c r="W9" i="33"/>
  <c r="H13" i="33"/>
  <c r="K11" i="33"/>
  <c r="T11" i="33"/>
  <c r="H24" i="33"/>
  <c r="L21" i="33"/>
  <c r="G21" i="33"/>
  <c r="K41" i="33"/>
  <c r="P41" i="33"/>
  <c r="O41" i="33"/>
  <c r="D15" i="33"/>
  <c r="G23" i="33"/>
  <c r="O51" i="33"/>
  <c r="D45" i="33"/>
  <c r="K55" i="33"/>
  <c r="G53" i="33"/>
  <c r="K54" i="33"/>
  <c r="G55" i="33"/>
  <c r="K71" i="33"/>
  <c r="G71" i="33"/>
  <c r="K51" i="33"/>
  <c r="K62" i="33"/>
  <c r="G62" i="33"/>
  <c r="O70" i="33"/>
  <c r="G51" i="33"/>
  <c r="K56" i="33"/>
  <c r="K64" i="33"/>
  <c r="G64" i="33"/>
  <c r="K67" i="33"/>
  <c r="G67" i="33"/>
  <c r="O72" i="33"/>
  <c r="G56" i="33"/>
  <c r="K58" i="33"/>
  <c r="K63" i="33"/>
  <c r="G63" i="33"/>
  <c r="O66" i="33"/>
  <c r="K69" i="33"/>
  <c r="G69" i="33"/>
  <c r="K66" i="33"/>
  <c r="K68" i="33"/>
  <c r="K70" i="33"/>
  <c r="K72" i="33"/>
  <c r="D75" i="33"/>
  <c r="D94" i="33" s="1"/>
  <c r="G66" i="33"/>
  <c r="G68" i="33"/>
  <c r="G70" i="33"/>
  <c r="G72" i="33"/>
  <c r="G11" i="32"/>
  <c r="L87" i="32"/>
  <c r="O87" i="32" s="1"/>
  <c r="G76" i="32"/>
  <c r="K82" i="32"/>
  <c r="G82" i="32"/>
  <c r="G61" i="32"/>
  <c r="H88" i="32"/>
  <c r="G84" i="32"/>
  <c r="G80" i="32"/>
  <c r="G67" i="32"/>
  <c r="K64" i="32"/>
  <c r="K63" i="32"/>
  <c r="G53" i="32"/>
  <c r="K53" i="32"/>
  <c r="L38" i="32"/>
  <c r="P38" i="32" s="1"/>
  <c r="T38" i="32" s="1"/>
  <c r="K36" i="32"/>
  <c r="G36" i="32"/>
  <c r="G35" i="32"/>
  <c r="P23" i="32"/>
  <c r="S23" i="32" s="1"/>
  <c r="O23" i="32"/>
  <c r="P25" i="32"/>
  <c r="S25" i="32" s="1"/>
  <c r="O25" i="32"/>
  <c r="O21" i="32"/>
  <c r="P21" i="32"/>
  <c r="T21" i="32" s="1"/>
  <c r="X21" i="32" s="1"/>
  <c r="P27" i="32"/>
  <c r="O27" i="32"/>
  <c r="L28" i="32"/>
  <c r="O29" i="32"/>
  <c r="D57" i="32"/>
  <c r="D13" i="32"/>
  <c r="D103" i="32" s="1"/>
  <c r="L11" i="32"/>
  <c r="O10" i="32"/>
  <c r="O22" i="32"/>
  <c r="P22" i="32"/>
  <c r="S11" i="32"/>
  <c r="S9" i="32"/>
  <c r="W11" i="32"/>
  <c r="H32" i="32"/>
  <c r="K22" i="32"/>
  <c r="T25" i="32"/>
  <c r="L26" i="32"/>
  <c r="W9" i="32"/>
  <c r="X11" i="32"/>
  <c r="T13" i="32"/>
  <c r="L24" i="32"/>
  <c r="P36" i="32"/>
  <c r="O36" i="32" s="1"/>
  <c r="S40" i="32"/>
  <c r="T40" i="32"/>
  <c r="L50" i="32"/>
  <c r="K50" i="32" s="1"/>
  <c r="O61" i="32"/>
  <c r="T63" i="32"/>
  <c r="S63" i="32" s="1"/>
  <c r="S38" i="32"/>
  <c r="P28" i="32"/>
  <c r="L30" i="32"/>
  <c r="L35" i="32"/>
  <c r="K35" i="32" s="1"/>
  <c r="L37" i="32"/>
  <c r="K37" i="32" s="1"/>
  <c r="L39" i="32"/>
  <c r="O40" i="32"/>
  <c r="L41" i="32"/>
  <c r="H43" i="32"/>
  <c r="G43" i="32" s="1"/>
  <c r="P53" i="32"/>
  <c r="O53" i="32" s="1"/>
  <c r="O63" i="32"/>
  <c r="K65" i="32"/>
  <c r="L75" i="32"/>
  <c r="K83" i="32"/>
  <c r="O67" i="32"/>
  <c r="K81" i="32"/>
  <c r="H71" i="32"/>
  <c r="K79" i="32"/>
  <c r="K61" i="32"/>
  <c r="K66" i="32"/>
  <c r="K67" i="32"/>
  <c r="L69" i="32"/>
  <c r="K69" i="32"/>
  <c r="S70" i="32"/>
  <c r="T70" i="32"/>
  <c r="O70" i="32"/>
  <c r="D89" i="32"/>
  <c r="K74" i="32"/>
  <c r="K39" i="31"/>
  <c r="O55" i="31"/>
  <c r="K44" i="31"/>
  <c r="P44" i="31"/>
  <c r="T44" i="31" s="1"/>
  <c r="X44" i="31" s="1"/>
  <c r="AB44" i="31" s="1"/>
  <c r="AA44" i="31" s="1"/>
  <c r="AA9" i="31"/>
  <c r="X29" i="31"/>
  <c r="K68" i="31"/>
  <c r="P43" i="31"/>
  <c r="W9" i="31"/>
  <c r="T29" i="31"/>
  <c r="S9" i="31"/>
  <c r="T42" i="31"/>
  <c r="S42" i="31" s="1"/>
  <c r="O42" i="31"/>
  <c r="L45" i="31"/>
  <c r="K45" i="31" s="1"/>
  <c r="T53" i="31"/>
  <c r="S53" i="31" s="1"/>
  <c r="K42" i="31"/>
  <c r="G45" i="31"/>
  <c r="D91" i="31"/>
  <c r="P89" i="31"/>
  <c r="K98" i="31"/>
  <c r="G98" i="31"/>
  <c r="G67" i="31"/>
  <c r="G68" i="31"/>
  <c r="K100" i="31"/>
  <c r="K105" i="31"/>
  <c r="K106" i="31"/>
  <c r="L111" i="31"/>
  <c r="K111" i="31" s="1"/>
  <c r="G111" i="31"/>
  <c r="L117" i="31"/>
  <c r="K117" i="31" s="1"/>
  <c r="G117" i="31"/>
  <c r="G86" i="31"/>
  <c r="L119" i="31"/>
  <c r="K119" i="31" s="1"/>
  <c r="G119" i="31"/>
  <c r="K89" i="31"/>
  <c r="K101" i="31"/>
  <c r="G101" i="31"/>
  <c r="K110" i="31"/>
  <c r="G110" i="31"/>
  <c r="K104" i="31"/>
  <c r="G104" i="31"/>
  <c r="L112" i="31"/>
  <c r="G112" i="31"/>
  <c r="L115" i="31"/>
  <c r="K115" i="31" s="1"/>
  <c r="G115" i="31"/>
  <c r="K121" i="31"/>
  <c r="G114" i="31"/>
  <c r="G116" i="31"/>
  <c r="G118" i="31"/>
  <c r="G120" i="31"/>
  <c r="Q11" i="32" l="1"/>
  <c r="M11" i="32"/>
  <c r="D15" i="34"/>
  <c r="K75" i="32"/>
  <c r="P75" i="32"/>
  <c r="W21" i="32"/>
  <c r="T23" i="32"/>
  <c r="P103" i="32"/>
  <c r="K86" i="32"/>
  <c r="P86" i="32"/>
  <c r="K85" i="32"/>
  <c r="P85" i="32"/>
  <c r="K77" i="32"/>
  <c r="P77" i="32"/>
  <c r="O78" i="32"/>
  <c r="P78" i="32"/>
  <c r="P56" i="33"/>
  <c r="O56" i="33"/>
  <c r="P86" i="31"/>
  <c r="K118" i="31"/>
  <c r="S44" i="31"/>
  <c r="O66" i="34"/>
  <c r="T23" i="34"/>
  <c r="O50" i="34"/>
  <c r="K50" i="34"/>
  <c r="G47" i="34"/>
  <c r="T21" i="34"/>
  <c r="X21" i="34" s="1"/>
  <c r="AB21" i="34" s="1"/>
  <c r="AA21" i="34" s="1"/>
  <c r="K84" i="32"/>
  <c r="K80" i="32"/>
  <c r="P22" i="33"/>
  <c r="T22" i="33" s="1"/>
  <c r="S22" i="33" s="1"/>
  <c r="K22" i="33"/>
  <c r="K73" i="33"/>
  <c r="D31" i="31"/>
  <c r="D33" i="31" s="1"/>
  <c r="D84" i="33"/>
  <c r="G13" i="32"/>
  <c r="AB13" i="32" s="1"/>
  <c r="AB103" i="32" s="1"/>
  <c r="D90" i="34"/>
  <c r="K11" i="34"/>
  <c r="L13" i="34"/>
  <c r="K9" i="34"/>
  <c r="P9" i="34"/>
  <c r="O9" i="34" s="1"/>
  <c r="O56" i="31"/>
  <c r="K56" i="31"/>
  <c r="O89" i="31"/>
  <c r="H10" i="26"/>
  <c r="S41" i="31"/>
  <c r="G64" i="31"/>
  <c r="L82" i="31"/>
  <c r="T39" i="31"/>
  <c r="X39" i="31" s="1"/>
  <c r="W39" i="31" s="1"/>
  <c r="P50" i="34"/>
  <c r="T50" i="34" s="1"/>
  <c r="K13" i="32"/>
  <c r="L13" i="33"/>
  <c r="L95" i="33" s="1"/>
  <c r="I8" i="26"/>
  <c r="H23" i="36"/>
  <c r="H64" i="36" s="1"/>
  <c r="P11" i="33"/>
  <c r="G66" i="36"/>
  <c r="P79" i="34"/>
  <c r="T79" i="34" s="1"/>
  <c r="P69" i="34"/>
  <c r="K114" i="31"/>
  <c r="O82" i="32"/>
  <c r="K74" i="33"/>
  <c r="O75" i="34"/>
  <c r="P64" i="34"/>
  <c r="S64" i="34" s="1"/>
  <c r="O86" i="32"/>
  <c r="P87" i="32"/>
  <c r="H75" i="33"/>
  <c r="G75" i="33" s="1"/>
  <c r="L65" i="33"/>
  <c r="P65" i="33" s="1"/>
  <c r="O166" i="31"/>
  <c r="L32" i="32"/>
  <c r="K116" i="31"/>
  <c r="O38" i="33"/>
  <c r="K76" i="32"/>
  <c r="T76" i="32"/>
  <c r="K86" i="31"/>
  <c r="T52" i="33"/>
  <c r="S52" i="33" s="1"/>
  <c r="G49" i="33"/>
  <c r="K97" i="31"/>
  <c r="X156" i="31"/>
  <c r="T166" i="31"/>
  <c r="P69" i="31"/>
  <c r="T69" i="31" s="1"/>
  <c r="X69" i="31" s="1"/>
  <c r="W69" i="31" s="1"/>
  <c r="P51" i="31"/>
  <c r="T51" i="31" s="1"/>
  <c r="X51" i="31" s="1"/>
  <c r="AB51" i="31" s="1"/>
  <c r="AA51" i="31" s="1"/>
  <c r="P17" i="31"/>
  <c r="K51" i="31"/>
  <c r="K41" i="31"/>
  <c r="O39" i="31"/>
  <c r="O97" i="31"/>
  <c r="P120" i="31"/>
  <c r="T120" i="31" s="1"/>
  <c r="S51" i="31"/>
  <c r="S24" i="34"/>
  <c r="S26" i="34"/>
  <c r="G71" i="34"/>
  <c r="G51" i="34"/>
  <c r="S39" i="34"/>
  <c r="T36" i="34"/>
  <c r="W36" i="34" s="1"/>
  <c r="G32" i="34"/>
  <c r="L32" i="34"/>
  <c r="L46" i="34" s="1"/>
  <c r="K43" i="34"/>
  <c r="G43" i="34"/>
  <c r="W21" i="34"/>
  <c r="S21" i="34"/>
  <c r="S9" i="33"/>
  <c r="AB101" i="34"/>
  <c r="AB15" i="34"/>
  <c r="P82" i="34"/>
  <c r="G87" i="34"/>
  <c r="D100" i="34"/>
  <c r="D102" i="34" s="1"/>
  <c r="L87" i="34"/>
  <c r="P70" i="34"/>
  <c r="O70" i="34"/>
  <c r="K82" i="34"/>
  <c r="L71" i="34"/>
  <c r="K71" i="34" s="1"/>
  <c r="O61" i="34"/>
  <c r="T85" i="34"/>
  <c r="S85" i="34"/>
  <c r="P68" i="34"/>
  <c r="O68" i="34"/>
  <c r="P78" i="34"/>
  <c r="O78" i="34" s="1"/>
  <c r="O84" i="34"/>
  <c r="P84" i="34"/>
  <c r="T66" i="34"/>
  <c r="S66" i="34"/>
  <c r="P53" i="34"/>
  <c r="O53" i="34"/>
  <c r="S37" i="34"/>
  <c r="T37" i="34"/>
  <c r="P40" i="34"/>
  <c r="O40" i="34"/>
  <c r="X36" i="34"/>
  <c r="AA24" i="34"/>
  <c r="AB24" i="34"/>
  <c r="L101" i="34"/>
  <c r="O13" i="34"/>
  <c r="T77" i="34"/>
  <c r="S77" i="34" s="1"/>
  <c r="T83" i="34"/>
  <c r="S83" i="34"/>
  <c r="T64" i="34"/>
  <c r="P76" i="34"/>
  <c r="G46" i="34"/>
  <c r="G49" i="34"/>
  <c r="X39" i="34"/>
  <c r="W39" i="34"/>
  <c r="X23" i="34"/>
  <c r="W23" i="34"/>
  <c r="P63" i="34"/>
  <c r="O63" i="34"/>
  <c r="P86" i="34"/>
  <c r="O86" i="34"/>
  <c r="O62" i="34"/>
  <c r="P62" i="34"/>
  <c r="T75" i="34"/>
  <c r="S75" i="34"/>
  <c r="T81" i="34"/>
  <c r="S81" i="34" s="1"/>
  <c r="X25" i="34"/>
  <c r="W25" i="34"/>
  <c r="AB35" i="34"/>
  <c r="AA35" i="34" s="1"/>
  <c r="H101" i="34"/>
  <c r="K13" i="34"/>
  <c r="G52" i="34"/>
  <c r="P38" i="34"/>
  <c r="O38" i="34"/>
  <c r="P28" i="34"/>
  <c r="O28" i="34"/>
  <c r="AA26" i="34"/>
  <c r="AB26" i="34"/>
  <c r="AA11" i="34"/>
  <c r="X13" i="34"/>
  <c r="T101" i="34"/>
  <c r="W13" i="34"/>
  <c r="P80" i="34"/>
  <c r="O80" i="34" s="1"/>
  <c r="T65" i="34"/>
  <c r="S65" i="34"/>
  <c r="S41" i="34"/>
  <c r="T41" i="34"/>
  <c r="L52" i="34"/>
  <c r="L48" i="34"/>
  <c r="L47" i="34"/>
  <c r="P22" i="34"/>
  <c r="O22" i="34"/>
  <c r="S27" i="34"/>
  <c r="T27" i="34"/>
  <c r="D96" i="33"/>
  <c r="T54" i="33"/>
  <c r="S54" i="33" s="1"/>
  <c r="O50" i="33"/>
  <c r="K50" i="33"/>
  <c r="O27" i="33"/>
  <c r="K31" i="33"/>
  <c r="O30" i="33"/>
  <c r="P23" i="33"/>
  <c r="O58" i="33"/>
  <c r="O54" i="33"/>
  <c r="O62" i="33"/>
  <c r="G65" i="33"/>
  <c r="O55" i="33"/>
  <c r="T41" i="33"/>
  <c r="S11" i="33"/>
  <c r="O11" i="33"/>
  <c r="AB15" i="33"/>
  <c r="O73" i="33"/>
  <c r="O71" i="33"/>
  <c r="K53" i="33"/>
  <c r="T13" i="33"/>
  <c r="T15" i="33" s="1"/>
  <c r="W15" i="33" s="1"/>
  <c r="W11" i="33"/>
  <c r="O69" i="33"/>
  <c r="T72" i="33"/>
  <c r="O67" i="33"/>
  <c r="T68" i="33"/>
  <c r="S68" i="33" s="1"/>
  <c r="T51" i="33"/>
  <c r="L24" i="33"/>
  <c r="K21" i="33"/>
  <c r="P21" i="33"/>
  <c r="O21" i="33" s="1"/>
  <c r="X13" i="33"/>
  <c r="X15" i="33" s="1"/>
  <c r="AA15" i="33" s="1"/>
  <c r="AA11" i="33"/>
  <c r="T66" i="33"/>
  <c r="S66" i="33" s="1"/>
  <c r="T70" i="33"/>
  <c r="S70" i="33" s="1"/>
  <c r="O68" i="33"/>
  <c r="O49" i="33"/>
  <c r="G24" i="33"/>
  <c r="H95" i="33"/>
  <c r="K13" i="33"/>
  <c r="X22" i="33"/>
  <c r="W22" i="33" s="1"/>
  <c r="K23" i="33"/>
  <c r="H89" i="32"/>
  <c r="K88" i="32"/>
  <c r="L88" i="32"/>
  <c r="O88" i="32" s="1"/>
  <c r="K78" i="32"/>
  <c r="O64" i="32"/>
  <c r="L71" i="32"/>
  <c r="K62" i="32"/>
  <c r="G71" i="32"/>
  <c r="O38" i="32"/>
  <c r="O28" i="32"/>
  <c r="S21" i="32"/>
  <c r="S27" i="32"/>
  <c r="T27" i="32"/>
  <c r="AB15" i="32"/>
  <c r="D15" i="32"/>
  <c r="D92" i="32"/>
  <c r="D102" i="32"/>
  <c r="D104" i="32" s="1"/>
  <c r="O85" i="32"/>
  <c r="O66" i="32"/>
  <c r="T84" i="32"/>
  <c r="S84" i="32" s="1"/>
  <c r="O83" i="32"/>
  <c r="O75" i="32"/>
  <c r="P50" i="32"/>
  <c r="O50" i="32" s="1"/>
  <c r="T103" i="32"/>
  <c r="T15" i="32"/>
  <c r="W15" i="32" s="1"/>
  <c r="W13" i="32"/>
  <c r="L13" i="32"/>
  <c r="O11" i="32"/>
  <c r="O74" i="32"/>
  <c r="O69" i="32"/>
  <c r="P69" i="32"/>
  <c r="O81" i="32"/>
  <c r="T53" i="32"/>
  <c r="S53" i="32" s="1"/>
  <c r="P39" i="32"/>
  <c r="O39" i="32"/>
  <c r="P30" i="32"/>
  <c r="O30" i="32"/>
  <c r="X38" i="32"/>
  <c r="W38" i="32"/>
  <c r="T61" i="32"/>
  <c r="S61" i="32" s="1"/>
  <c r="X40" i="32"/>
  <c r="W40" i="32"/>
  <c r="O24" i="32"/>
  <c r="P24" i="32"/>
  <c r="X13" i="32"/>
  <c r="AA11" i="32"/>
  <c r="O26" i="32"/>
  <c r="P26" i="32"/>
  <c r="T22" i="32"/>
  <c r="S22" i="32"/>
  <c r="X70" i="32"/>
  <c r="W70" i="32"/>
  <c r="O79" i="32"/>
  <c r="T80" i="32"/>
  <c r="S80" i="32" s="1"/>
  <c r="O65" i="32"/>
  <c r="G51" i="32"/>
  <c r="G48" i="32"/>
  <c r="G52" i="32"/>
  <c r="G49" i="32"/>
  <c r="G47" i="32"/>
  <c r="X63" i="32"/>
  <c r="W63" i="32" s="1"/>
  <c r="W23" i="32"/>
  <c r="X23" i="32"/>
  <c r="W25" i="32"/>
  <c r="X25" i="32"/>
  <c r="AB21" i="32"/>
  <c r="AA21" i="32"/>
  <c r="O77" i="32"/>
  <c r="P41" i="32"/>
  <c r="O41" i="32"/>
  <c r="P37" i="32"/>
  <c r="O37" i="32"/>
  <c r="T28" i="32"/>
  <c r="S28" i="32"/>
  <c r="L46" i="32"/>
  <c r="O32" i="32"/>
  <c r="O62" i="32"/>
  <c r="K11" i="32"/>
  <c r="T78" i="32"/>
  <c r="S78" i="32" s="1"/>
  <c r="P35" i="32"/>
  <c r="O35" i="32" s="1"/>
  <c r="L43" i="32"/>
  <c r="K43" i="32" s="1"/>
  <c r="T36" i="32"/>
  <c r="S36" i="32" s="1"/>
  <c r="H46" i="32"/>
  <c r="G33" i="26" s="1"/>
  <c r="K32" i="32"/>
  <c r="S97" i="31"/>
  <c r="O44" i="31"/>
  <c r="W44" i="31"/>
  <c r="P112" i="31"/>
  <c r="O112" i="31" s="1"/>
  <c r="K112" i="31"/>
  <c r="K99" i="31"/>
  <c r="T116" i="31"/>
  <c r="S116" i="31" s="1"/>
  <c r="T114" i="31"/>
  <c r="S114" i="31" s="1"/>
  <c r="P105" i="31"/>
  <c r="O105" i="31"/>
  <c r="L67" i="31"/>
  <c r="K67" i="31" s="1"/>
  <c r="H79" i="31"/>
  <c r="P115" i="31"/>
  <c r="O115" i="31" s="1"/>
  <c r="G99" i="31"/>
  <c r="O110" i="31"/>
  <c r="O101" i="31"/>
  <c r="O116" i="31"/>
  <c r="O114" i="31"/>
  <c r="P106" i="31"/>
  <c r="O106" i="31"/>
  <c r="O98" i="31"/>
  <c r="X53" i="31"/>
  <c r="W53" i="31" s="1"/>
  <c r="AB41" i="31"/>
  <c r="AA41" i="31" s="1"/>
  <c r="L113" i="31"/>
  <c r="K102" i="31"/>
  <c r="G113" i="31"/>
  <c r="D93" i="31"/>
  <c r="D179" i="31" s="1"/>
  <c r="P45" i="31"/>
  <c r="P104" i="31"/>
  <c r="O104" i="31"/>
  <c r="H147" i="31"/>
  <c r="G107" i="31"/>
  <c r="P119" i="31"/>
  <c r="O119" i="31" s="1"/>
  <c r="P117" i="31"/>
  <c r="O117" i="31" s="1"/>
  <c r="T89" i="31"/>
  <c r="S89" i="31" s="1"/>
  <c r="X42" i="31"/>
  <c r="W42" i="31" s="1"/>
  <c r="W29" i="31"/>
  <c r="T31" i="31"/>
  <c r="T33" i="31" s="1"/>
  <c r="W33" i="31" s="1"/>
  <c r="T43" i="31"/>
  <c r="AA29" i="31"/>
  <c r="X31" i="31"/>
  <c r="O121" i="31"/>
  <c r="T118" i="31"/>
  <c r="S118" i="31" s="1"/>
  <c r="P111" i="31"/>
  <c r="O111" i="31" s="1"/>
  <c r="O100" i="31"/>
  <c r="AB97" i="31"/>
  <c r="AA97" i="31" s="1"/>
  <c r="P68" i="31"/>
  <c r="O68" i="31" s="1"/>
  <c r="Q11" i="33" l="1"/>
  <c r="AB39" i="31"/>
  <c r="AA39" i="31" s="1"/>
  <c r="P31" i="33"/>
  <c r="O86" i="31"/>
  <c r="T86" i="31"/>
  <c r="S86" i="31" s="1"/>
  <c r="S50" i="34"/>
  <c r="T38" i="33"/>
  <c r="S38" i="33" s="1"/>
  <c r="O22" i="33"/>
  <c r="P13" i="33"/>
  <c r="S13" i="33" s="1"/>
  <c r="O13" i="33"/>
  <c r="P11" i="34"/>
  <c r="S9" i="34"/>
  <c r="S69" i="31"/>
  <c r="I10" i="26"/>
  <c r="I12" i="26" s="1"/>
  <c r="S39" i="31"/>
  <c r="W51" i="31"/>
  <c r="G79" i="31"/>
  <c r="P64" i="31"/>
  <c r="H66" i="36"/>
  <c r="D169" i="31"/>
  <c r="S79" i="34"/>
  <c r="K65" i="33"/>
  <c r="T82" i="32"/>
  <c r="S82" i="32" s="1"/>
  <c r="K71" i="32"/>
  <c r="G89" i="32"/>
  <c r="K87" i="34"/>
  <c r="G59" i="33"/>
  <c r="L147" i="31"/>
  <c r="O76" i="32"/>
  <c r="S76" i="32"/>
  <c r="O52" i="33"/>
  <c r="K64" i="31"/>
  <c r="AB156" i="31"/>
  <c r="AB166" i="31" s="1"/>
  <c r="X166" i="31"/>
  <c r="G31" i="31"/>
  <c r="AB31" i="31" s="1"/>
  <c r="O120" i="31"/>
  <c r="K113" i="31"/>
  <c r="O69" i="31"/>
  <c r="O17" i="31"/>
  <c r="O51" i="31"/>
  <c r="S120" i="31"/>
  <c r="K32" i="34"/>
  <c r="L49" i="34"/>
  <c r="K49" i="34" s="1"/>
  <c r="L51" i="34"/>
  <c r="K51" i="34" s="1"/>
  <c r="K47" i="34"/>
  <c r="K48" i="34"/>
  <c r="K52" i="34"/>
  <c r="X101" i="34"/>
  <c r="AA13" i="34"/>
  <c r="T22" i="34"/>
  <c r="S22" i="34"/>
  <c r="P32" i="34"/>
  <c r="T38" i="34"/>
  <c r="S38" i="34"/>
  <c r="P43" i="34"/>
  <c r="O43" i="34" s="1"/>
  <c r="AB25" i="34"/>
  <c r="AA25" i="34"/>
  <c r="S86" i="34"/>
  <c r="T86" i="34"/>
  <c r="AB23" i="34"/>
  <c r="AA23" i="34"/>
  <c r="T76" i="34"/>
  <c r="S76" i="34" s="1"/>
  <c r="X66" i="34"/>
  <c r="W66" i="34"/>
  <c r="T74" i="34"/>
  <c r="S74" i="34" s="1"/>
  <c r="P87" i="34"/>
  <c r="X27" i="34"/>
  <c r="W27" i="34"/>
  <c r="X15" i="34"/>
  <c r="AA15" i="34" s="1"/>
  <c r="T62" i="34"/>
  <c r="S62" i="34"/>
  <c r="H55" i="34"/>
  <c r="G55" i="34" s="1"/>
  <c r="K46" i="34"/>
  <c r="O76" i="34"/>
  <c r="W83" i="34"/>
  <c r="X83" i="34"/>
  <c r="AA36" i="34"/>
  <c r="AB36" i="34"/>
  <c r="T84" i="34"/>
  <c r="S84" i="34" s="1"/>
  <c r="P71" i="34"/>
  <c r="O71" i="34" s="1"/>
  <c r="T61" i="34"/>
  <c r="S61" i="34" s="1"/>
  <c r="D103" i="34"/>
  <c r="D92" i="34"/>
  <c r="W65" i="34"/>
  <c r="X65" i="34"/>
  <c r="T28" i="34"/>
  <c r="S28" i="34"/>
  <c r="X81" i="34"/>
  <c r="T63" i="34"/>
  <c r="S63" i="34"/>
  <c r="AB39" i="34"/>
  <c r="AA39" i="34"/>
  <c r="S40" i="34"/>
  <c r="T40" i="34"/>
  <c r="T43" i="34" s="1"/>
  <c r="S53" i="34"/>
  <c r="T53" i="34"/>
  <c r="O74" i="34"/>
  <c r="T82" i="34"/>
  <c r="S82" i="34"/>
  <c r="T80" i="34"/>
  <c r="S80" i="34" s="1"/>
  <c r="X50" i="34"/>
  <c r="W50" i="34"/>
  <c r="X64" i="34"/>
  <c r="W64" i="34"/>
  <c r="X77" i="34"/>
  <c r="W77" i="34" s="1"/>
  <c r="X37" i="34"/>
  <c r="W37" i="34"/>
  <c r="T78" i="34"/>
  <c r="S78" i="34"/>
  <c r="S70" i="34"/>
  <c r="T70" i="34"/>
  <c r="O82" i="34"/>
  <c r="X41" i="34"/>
  <c r="W41" i="34"/>
  <c r="X75" i="34"/>
  <c r="W85" i="34"/>
  <c r="X85" i="34"/>
  <c r="X79" i="34"/>
  <c r="H43" i="33"/>
  <c r="T23" i="33"/>
  <c r="S23" i="33" s="1"/>
  <c r="X70" i="33"/>
  <c r="W70" i="33" s="1"/>
  <c r="X95" i="33"/>
  <c r="AA13" i="33"/>
  <c r="T67" i="33"/>
  <c r="S67" i="33" s="1"/>
  <c r="X41" i="33"/>
  <c r="W41" i="33" s="1"/>
  <c r="T30" i="33"/>
  <c r="S30" i="33" s="1"/>
  <c r="O65" i="33"/>
  <c r="X51" i="33"/>
  <c r="W51" i="33" s="1"/>
  <c r="X72" i="33"/>
  <c r="W72" i="33" s="1"/>
  <c r="T64" i="33"/>
  <c r="S64" i="33" s="1"/>
  <c r="T63" i="33"/>
  <c r="S63" i="33" s="1"/>
  <c r="L34" i="33"/>
  <c r="K34" i="33" s="1"/>
  <c r="T53" i="33"/>
  <c r="T73" i="33"/>
  <c r="S73" i="33" s="1"/>
  <c r="X68" i="33"/>
  <c r="W68" i="33" s="1"/>
  <c r="T69" i="33"/>
  <c r="S69" i="33" s="1"/>
  <c r="T58" i="33"/>
  <c r="S58" i="33"/>
  <c r="X54" i="33"/>
  <c r="W54" i="33" s="1"/>
  <c r="AB22" i="33"/>
  <c r="AA22" i="33" s="1"/>
  <c r="K24" i="33"/>
  <c r="P59" i="33"/>
  <c r="T49" i="33"/>
  <c r="S49" i="33" s="1"/>
  <c r="X66" i="33"/>
  <c r="W66" i="33" s="1"/>
  <c r="T21" i="33"/>
  <c r="S51" i="33"/>
  <c r="S72" i="33"/>
  <c r="O53" i="33"/>
  <c r="X52" i="33"/>
  <c r="S41" i="33"/>
  <c r="L75" i="33"/>
  <c r="O64" i="33"/>
  <c r="O23" i="33"/>
  <c r="L37" i="33"/>
  <c r="K37" i="33" s="1"/>
  <c r="L36" i="33"/>
  <c r="K36" i="33" s="1"/>
  <c r="L35" i="33"/>
  <c r="L40" i="33"/>
  <c r="K40" i="33" s="1"/>
  <c r="L39" i="33"/>
  <c r="K39" i="33" s="1"/>
  <c r="T50" i="33"/>
  <c r="S50" i="33" s="1"/>
  <c r="O63" i="33"/>
  <c r="K59" i="33"/>
  <c r="T74" i="33"/>
  <c r="S74" i="33" s="1"/>
  <c r="T95" i="33"/>
  <c r="W13" i="33"/>
  <c r="T71" i="33"/>
  <c r="S71" i="33" s="1"/>
  <c r="T29" i="33"/>
  <c r="S29" i="33" s="1"/>
  <c r="T62" i="33"/>
  <c r="S62" i="33" s="1"/>
  <c r="T27" i="33"/>
  <c r="S27" i="33" s="1"/>
  <c r="D97" i="33"/>
  <c r="D86" i="33"/>
  <c r="L89" i="32"/>
  <c r="P88" i="32"/>
  <c r="T88" i="32" s="1"/>
  <c r="T64" i="32"/>
  <c r="S64" i="32" s="1"/>
  <c r="W27" i="32"/>
  <c r="X27" i="32"/>
  <c r="P43" i="32"/>
  <c r="O43" i="32" s="1"/>
  <c r="T35" i="32"/>
  <c r="S35" i="32" s="1"/>
  <c r="AB70" i="32"/>
  <c r="AA70" i="32"/>
  <c r="AB40" i="32"/>
  <c r="AA40" i="32"/>
  <c r="T75" i="32"/>
  <c r="S75" i="32" s="1"/>
  <c r="X76" i="32"/>
  <c r="W76" i="32" s="1"/>
  <c r="T37" i="32"/>
  <c r="S37" i="32" s="1"/>
  <c r="AB63" i="32"/>
  <c r="AA63" i="32" s="1"/>
  <c r="T65" i="32"/>
  <c r="S65" i="32" s="1"/>
  <c r="T79" i="32"/>
  <c r="S79" i="32" s="1"/>
  <c r="W22" i="32"/>
  <c r="X22" i="32"/>
  <c r="X103" i="32"/>
  <c r="AA13" i="32"/>
  <c r="T81" i="32"/>
  <c r="S81" i="32" s="1"/>
  <c r="L103" i="32"/>
  <c r="O13" i="32"/>
  <c r="T83" i="32"/>
  <c r="S83" i="32" s="1"/>
  <c r="X84" i="32"/>
  <c r="W84" i="32" s="1"/>
  <c r="T85" i="32"/>
  <c r="S85" i="32" s="1"/>
  <c r="K46" i="32"/>
  <c r="H55" i="32"/>
  <c r="G55" i="32" s="1"/>
  <c r="L47" i="32"/>
  <c r="K47" i="32" s="1"/>
  <c r="L51" i="32"/>
  <c r="L48" i="32"/>
  <c r="L52" i="32"/>
  <c r="K52" i="32" s="1"/>
  <c r="L49" i="32"/>
  <c r="K49" i="32" s="1"/>
  <c r="T62" i="32"/>
  <c r="S62" i="32" s="1"/>
  <c r="W28" i="32"/>
  <c r="X28" i="32"/>
  <c r="T41" i="32"/>
  <c r="S41" i="32"/>
  <c r="T77" i="32"/>
  <c r="S77" i="32" s="1"/>
  <c r="AB23" i="32"/>
  <c r="AA23" i="32"/>
  <c r="T26" i="32"/>
  <c r="S26" i="32"/>
  <c r="X15" i="32"/>
  <c r="AA15" i="32" s="1"/>
  <c r="P71" i="32"/>
  <c r="X53" i="32"/>
  <c r="W53" i="32" s="1"/>
  <c r="T66" i="32"/>
  <c r="S66" i="32" s="1"/>
  <c r="X36" i="32"/>
  <c r="W36" i="32" s="1"/>
  <c r="X78" i="32"/>
  <c r="W78" i="32" s="1"/>
  <c r="X80" i="32"/>
  <c r="W80" i="32" s="1"/>
  <c r="T50" i="32"/>
  <c r="S50" i="32" s="1"/>
  <c r="O46" i="32"/>
  <c r="AB25" i="32"/>
  <c r="AA25" i="32"/>
  <c r="T24" i="32"/>
  <c r="S24" i="32"/>
  <c r="X61" i="32"/>
  <c r="W61" i="32" s="1"/>
  <c r="AB38" i="32"/>
  <c r="AA38" i="32"/>
  <c r="T39" i="32"/>
  <c r="S39" i="32"/>
  <c r="T74" i="32"/>
  <c r="S74" i="32" s="1"/>
  <c r="D105" i="32"/>
  <c r="D94" i="32"/>
  <c r="T117" i="31"/>
  <c r="T45" i="31"/>
  <c r="S45" i="31" s="1"/>
  <c r="X118" i="31"/>
  <c r="W118" i="31" s="1"/>
  <c r="AA31" i="31"/>
  <c r="X43" i="31"/>
  <c r="W43" i="31" s="1"/>
  <c r="T100" i="31"/>
  <c r="S100" i="31" s="1"/>
  <c r="X33" i="31"/>
  <c r="AA33" i="31" s="1"/>
  <c r="S43" i="31"/>
  <c r="T119" i="31"/>
  <c r="S119" i="31" s="1"/>
  <c r="G82" i="31"/>
  <c r="P113" i="31"/>
  <c r="O113" i="31" s="1"/>
  <c r="T106" i="31"/>
  <c r="S106" i="31"/>
  <c r="T101" i="31"/>
  <c r="S101" i="31" s="1"/>
  <c r="X120" i="31"/>
  <c r="W120" i="31" s="1"/>
  <c r="L83" i="31"/>
  <c r="P67" i="31"/>
  <c r="X114" i="31"/>
  <c r="W114" i="31" s="1"/>
  <c r="P107" i="31"/>
  <c r="L107" i="31"/>
  <c r="M107" i="31" s="1"/>
  <c r="X89" i="31"/>
  <c r="W89" i="31" s="1"/>
  <c r="T98" i="31"/>
  <c r="S98" i="31" s="1"/>
  <c r="AB69" i="31"/>
  <c r="AA69" i="31" s="1"/>
  <c r="X86" i="31"/>
  <c r="W86" i="31" s="1"/>
  <c r="T112" i="31"/>
  <c r="S112" i="31" s="1"/>
  <c r="AB42" i="31"/>
  <c r="AB53" i="31"/>
  <c r="AA53" i="31" s="1"/>
  <c r="T115" i="31"/>
  <c r="S115" i="31" s="1"/>
  <c r="G147" i="31"/>
  <c r="X116" i="31"/>
  <c r="W116" i="31" s="1"/>
  <c r="T102" i="31"/>
  <c r="S102" i="31" s="1"/>
  <c r="T121" i="31"/>
  <c r="S121" i="31" s="1"/>
  <c r="W31" i="31"/>
  <c r="T68" i="31"/>
  <c r="S68" i="31" s="1"/>
  <c r="T111" i="31"/>
  <c r="T110" i="31"/>
  <c r="S110" i="31" s="1"/>
  <c r="O102" i="31"/>
  <c r="K147" i="31" l="1"/>
  <c r="P36" i="33"/>
  <c r="O36" i="33" s="1"/>
  <c r="P35" i="33"/>
  <c r="O35" i="33" s="1"/>
  <c r="X82" i="32"/>
  <c r="W82" i="32" s="1"/>
  <c r="P95" i="33"/>
  <c r="X38" i="33"/>
  <c r="W38" i="33" s="1"/>
  <c r="D171" i="31"/>
  <c r="D173" i="31" s="1"/>
  <c r="D180" i="31"/>
  <c r="S11" i="34"/>
  <c r="P13" i="34"/>
  <c r="O11" i="34"/>
  <c r="K79" i="31"/>
  <c r="O87" i="34"/>
  <c r="O59" i="33"/>
  <c r="T71" i="32"/>
  <c r="S71" i="32" s="1"/>
  <c r="X64" i="32"/>
  <c r="W64" i="32" s="1"/>
  <c r="O64" i="31"/>
  <c r="P75" i="33"/>
  <c r="AB33" i="31"/>
  <c r="O32" i="34"/>
  <c r="P51" i="34"/>
  <c r="O51" i="34" s="1"/>
  <c r="P46" i="34"/>
  <c r="O46" i="34" s="1"/>
  <c r="K55" i="34"/>
  <c r="AB79" i="34"/>
  <c r="AA79" i="34"/>
  <c r="X78" i="34"/>
  <c r="W78" i="34" s="1"/>
  <c r="W79" i="34"/>
  <c r="X70" i="34"/>
  <c r="W70" i="34"/>
  <c r="T47" i="34"/>
  <c r="T48" i="34"/>
  <c r="X82" i="34"/>
  <c r="W82" i="34" s="1"/>
  <c r="W40" i="34"/>
  <c r="X40" i="34"/>
  <c r="D94" i="34"/>
  <c r="H7" i="34" s="1"/>
  <c r="AB85" i="34"/>
  <c r="AA85" i="34" s="1"/>
  <c r="W63" i="34"/>
  <c r="X63" i="34"/>
  <c r="W28" i="34"/>
  <c r="X28" i="34"/>
  <c r="AB83" i="34"/>
  <c r="AA83" i="34" s="1"/>
  <c r="H57" i="34"/>
  <c r="H100" i="34"/>
  <c r="H102" i="34" s="1"/>
  <c r="X86" i="34"/>
  <c r="W86" i="34"/>
  <c r="P48" i="34"/>
  <c r="S43" i="34"/>
  <c r="P52" i="34"/>
  <c r="O52" i="34" s="1"/>
  <c r="P49" i="34"/>
  <c r="O49" i="34" s="1"/>
  <c r="P47" i="34"/>
  <c r="AB41" i="34"/>
  <c r="AA41" i="34"/>
  <c r="AB37" i="34"/>
  <c r="AA37" i="34"/>
  <c r="AB64" i="34"/>
  <c r="AA64" i="34"/>
  <c r="X80" i="34"/>
  <c r="W80" i="34" s="1"/>
  <c r="X53" i="34"/>
  <c r="W53" i="34"/>
  <c r="AB81" i="34"/>
  <c r="AA81" i="34" s="1"/>
  <c r="AB65" i="34"/>
  <c r="AA65" i="34"/>
  <c r="X84" i="34"/>
  <c r="W84" i="34" s="1"/>
  <c r="X74" i="34"/>
  <c r="W74" i="34" s="1"/>
  <c r="T87" i="34"/>
  <c r="X76" i="34"/>
  <c r="W76" i="34"/>
  <c r="X22" i="34"/>
  <c r="W22" i="34"/>
  <c r="T32" i="34"/>
  <c r="T49" i="34" s="1"/>
  <c r="AB77" i="34"/>
  <c r="AA77" i="34" s="1"/>
  <c r="W81" i="34"/>
  <c r="T71" i="34"/>
  <c r="X61" i="34"/>
  <c r="W61" i="34" s="1"/>
  <c r="W62" i="34"/>
  <c r="X62" i="34"/>
  <c r="AA27" i="34"/>
  <c r="AB27" i="34"/>
  <c r="W38" i="34"/>
  <c r="X38" i="34"/>
  <c r="AB75" i="34"/>
  <c r="AA75" i="34" s="1"/>
  <c r="W75" i="34"/>
  <c r="AB50" i="34"/>
  <c r="AA50" i="34"/>
  <c r="AB66" i="34"/>
  <c r="AA66" i="34"/>
  <c r="T24" i="33"/>
  <c r="X21" i="33"/>
  <c r="D88" i="33"/>
  <c r="H7" i="33" s="1"/>
  <c r="T31" i="33"/>
  <c r="S31" i="33" s="1"/>
  <c r="X27" i="33"/>
  <c r="W27" i="33" s="1"/>
  <c r="X71" i="33"/>
  <c r="W71" i="33" s="1"/>
  <c r="X74" i="33"/>
  <c r="W74" i="33" s="1"/>
  <c r="X50" i="33"/>
  <c r="W50" i="33" s="1"/>
  <c r="S21" i="33"/>
  <c r="AB54" i="33"/>
  <c r="AA54" i="33" s="1"/>
  <c r="L94" i="33"/>
  <c r="L96" i="33" s="1"/>
  <c r="X63" i="33"/>
  <c r="W63" i="33" s="1"/>
  <c r="X67" i="33"/>
  <c r="W67" i="33" s="1"/>
  <c r="AB52" i="33"/>
  <c r="AA52" i="33" s="1"/>
  <c r="T59" i="33"/>
  <c r="S59" i="33" s="1"/>
  <c r="X49" i="33"/>
  <c r="W49" i="33" s="1"/>
  <c r="X69" i="33"/>
  <c r="W69" i="33" s="1"/>
  <c r="X73" i="33"/>
  <c r="W73" i="33" s="1"/>
  <c r="AB72" i="33"/>
  <c r="AA72" i="33" s="1"/>
  <c r="X29" i="33"/>
  <c r="W29" i="33" s="1"/>
  <c r="O31" i="33"/>
  <c r="K75" i="33"/>
  <c r="W52" i="33"/>
  <c r="X53" i="33"/>
  <c r="W53" i="33" s="1"/>
  <c r="T65" i="33"/>
  <c r="T75" i="33" s="1"/>
  <c r="AA41" i="33"/>
  <c r="AB41" i="33"/>
  <c r="AB70" i="33"/>
  <c r="AA70" i="33" s="1"/>
  <c r="W23" i="33"/>
  <c r="X23" i="33"/>
  <c r="X62" i="33"/>
  <c r="W62" i="33" s="1"/>
  <c r="AB66" i="33"/>
  <c r="AA66" i="33" s="1"/>
  <c r="X58" i="33"/>
  <c r="W58" i="33"/>
  <c r="AB68" i="33"/>
  <c r="AA68" i="33" s="1"/>
  <c r="S53" i="33"/>
  <c r="X64" i="33"/>
  <c r="W64" i="33" s="1"/>
  <c r="AB51" i="33"/>
  <c r="AA51" i="33" s="1"/>
  <c r="X30" i="33"/>
  <c r="W30" i="33" s="1"/>
  <c r="K35" i="33"/>
  <c r="H45" i="33"/>
  <c r="H84" i="33" s="1"/>
  <c r="G43" i="33"/>
  <c r="H94" i="33"/>
  <c r="H96" i="33" s="1"/>
  <c r="K89" i="32"/>
  <c r="S88" i="32"/>
  <c r="P89" i="32"/>
  <c r="O71" i="32"/>
  <c r="K51" i="32"/>
  <c r="K48" i="32"/>
  <c r="L102" i="32"/>
  <c r="L104" i="32" s="1"/>
  <c r="AA27" i="32"/>
  <c r="AB27" i="32"/>
  <c r="X50" i="32"/>
  <c r="W50" i="32" s="1"/>
  <c r="AB78" i="32"/>
  <c r="AA78" i="32" s="1"/>
  <c r="X66" i="32"/>
  <c r="W66" i="32" s="1"/>
  <c r="X41" i="32"/>
  <c r="W41" i="32"/>
  <c r="AB84" i="32"/>
  <c r="AA84" i="32" s="1"/>
  <c r="AB76" i="32"/>
  <c r="AA76" i="32" s="1"/>
  <c r="AB82" i="32"/>
  <c r="AA82" i="32" s="1"/>
  <c r="X39" i="32"/>
  <c r="W39" i="32"/>
  <c r="AB61" i="32"/>
  <c r="AA61" i="32" s="1"/>
  <c r="X24" i="32"/>
  <c r="W24" i="32"/>
  <c r="AB53" i="32"/>
  <c r="AA53" i="32" s="1"/>
  <c r="AB28" i="32"/>
  <c r="AA28" i="32"/>
  <c r="X37" i="32"/>
  <c r="W37" i="32" s="1"/>
  <c r="T43" i="32"/>
  <c r="S43" i="32" s="1"/>
  <c r="X35" i="32"/>
  <c r="W35" i="32" s="1"/>
  <c r="D96" i="32"/>
  <c r="AB80" i="32"/>
  <c r="AA80" i="32" s="1"/>
  <c r="AB36" i="32"/>
  <c r="AA36" i="32" s="1"/>
  <c r="X26" i="32"/>
  <c r="W26" i="32"/>
  <c r="X77" i="32"/>
  <c r="W77" i="32" s="1"/>
  <c r="X85" i="32"/>
  <c r="W85" i="32" s="1"/>
  <c r="X83" i="32"/>
  <c r="W83" i="32" s="1"/>
  <c r="T32" i="32"/>
  <c r="X79" i="32"/>
  <c r="W79" i="32" s="1"/>
  <c r="X75" i="32"/>
  <c r="W75" i="32" s="1"/>
  <c r="P47" i="32"/>
  <c r="O47" i="32" s="1"/>
  <c r="P48" i="32"/>
  <c r="O48" i="32" s="1"/>
  <c r="X74" i="32"/>
  <c r="W74" i="32" s="1"/>
  <c r="T89" i="32"/>
  <c r="X62" i="32"/>
  <c r="W62" i="32" s="1"/>
  <c r="H57" i="32"/>
  <c r="H102" i="32"/>
  <c r="H104" i="32" s="1"/>
  <c r="X81" i="32"/>
  <c r="W81" i="32" s="1"/>
  <c r="AA22" i="32"/>
  <c r="AB22" i="32"/>
  <c r="X65" i="32"/>
  <c r="W65" i="32" s="1"/>
  <c r="X88" i="32"/>
  <c r="W88" i="32"/>
  <c r="T64" i="31"/>
  <c r="T82" i="31" s="1"/>
  <c r="G88" i="31"/>
  <c r="X110" i="31"/>
  <c r="W110" i="31" s="1"/>
  <c r="X121" i="31"/>
  <c r="W121" i="31" s="1"/>
  <c r="AB116" i="31"/>
  <c r="AA116" i="31" s="1"/>
  <c r="G83" i="31"/>
  <c r="X112" i="31"/>
  <c r="AB89" i="31"/>
  <c r="AA89" i="31" s="1"/>
  <c r="T99" i="31"/>
  <c r="S99" i="31" s="1"/>
  <c r="T67" i="31"/>
  <c r="P79" i="31"/>
  <c r="AB120" i="31"/>
  <c r="AA120" i="31" s="1"/>
  <c r="X106" i="31"/>
  <c r="W106" i="31"/>
  <c r="K82" i="31"/>
  <c r="X117" i="31"/>
  <c r="P82" i="31"/>
  <c r="P147" i="31"/>
  <c r="X68" i="31"/>
  <c r="W68" i="31" s="1"/>
  <c r="G87" i="31"/>
  <c r="G84" i="31"/>
  <c r="AA42" i="31"/>
  <c r="X98" i="31"/>
  <c r="O99" i="31"/>
  <c r="O67" i="31"/>
  <c r="X101" i="31"/>
  <c r="W101" i="31" s="1"/>
  <c r="X119" i="31"/>
  <c r="X100" i="31"/>
  <c r="W100" i="31" s="1"/>
  <c r="AB43" i="31"/>
  <c r="X111" i="31"/>
  <c r="W111" i="31" s="1"/>
  <c r="X102" i="31"/>
  <c r="W102" i="31" s="1"/>
  <c r="G85" i="31"/>
  <c r="AB86" i="31"/>
  <c r="AA86" i="31" s="1"/>
  <c r="L85" i="31"/>
  <c r="L84" i="31"/>
  <c r="L88" i="31"/>
  <c r="L87" i="31"/>
  <c r="T113" i="31"/>
  <c r="T147" i="31" s="1"/>
  <c r="AB118" i="31"/>
  <c r="AA118" i="31" s="1"/>
  <c r="X45" i="31"/>
  <c r="S111" i="31"/>
  <c r="X115" i="31"/>
  <c r="W115" i="31" s="1"/>
  <c r="O107" i="31"/>
  <c r="K107" i="31"/>
  <c r="AB114" i="31"/>
  <c r="AA114" i="31" s="1"/>
  <c r="S117" i="31"/>
  <c r="AB38" i="33" l="1"/>
  <c r="AA38" i="33" s="1"/>
  <c r="P101" i="34"/>
  <c r="S13" i="34"/>
  <c r="O79" i="31"/>
  <c r="L57" i="32"/>
  <c r="L92" i="32" s="1"/>
  <c r="O89" i="32"/>
  <c r="O75" i="33"/>
  <c r="G57" i="34"/>
  <c r="H90" i="34"/>
  <c r="G57" i="32"/>
  <c r="H92" i="32"/>
  <c r="X32" i="32"/>
  <c r="AA32" i="32" s="1"/>
  <c r="S75" i="33"/>
  <c r="AB64" i="32"/>
  <c r="AA64" i="32" s="1"/>
  <c r="K85" i="31"/>
  <c r="K88" i="31"/>
  <c r="S65" i="33"/>
  <c r="S113" i="31"/>
  <c r="S64" i="31"/>
  <c r="L57" i="34"/>
  <c r="L90" i="34" s="1"/>
  <c r="S71" i="34"/>
  <c r="L100" i="34"/>
  <c r="L102" i="34" s="1"/>
  <c r="S32" i="34"/>
  <c r="S48" i="34"/>
  <c r="O48" i="34"/>
  <c r="S47" i="34"/>
  <c r="O47" i="34"/>
  <c r="AB61" i="34"/>
  <c r="AA61" i="34" s="1"/>
  <c r="X71" i="34"/>
  <c r="W71" i="34" s="1"/>
  <c r="AA22" i="34"/>
  <c r="AB22" i="34"/>
  <c r="X32" i="34"/>
  <c r="W32" i="34" s="1"/>
  <c r="S49" i="34"/>
  <c r="AA28" i="34"/>
  <c r="AB28" i="34"/>
  <c r="AA40" i="34"/>
  <c r="AB40" i="34"/>
  <c r="T51" i="34"/>
  <c r="P55" i="34"/>
  <c r="O55" i="34" s="1"/>
  <c r="X87" i="34"/>
  <c r="W87" i="34" s="1"/>
  <c r="AB74" i="34"/>
  <c r="AA53" i="34"/>
  <c r="AB53" i="34"/>
  <c r="AA38" i="34"/>
  <c r="AB38" i="34"/>
  <c r="AB62" i="34"/>
  <c r="AA62" i="34"/>
  <c r="T46" i="34"/>
  <c r="S46" i="34" s="1"/>
  <c r="AB76" i="34"/>
  <c r="AA76" i="34"/>
  <c r="X43" i="34"/>
  <c r="W43" i="34" s="1"/>
  <c r="AB86" i="34"/>
  <c r="AA86" i="34"/>
  <c r="AB63" i="34"/>
  <c r="AA63" i="34"/>
  <c r="T52" i="34"/>
  <c r="AB78" i="34"/>
  <c r="AA78" i="34"/>
  <c r="AB84" i="34"/>
  <c r="AA84" i="34"/>
  <c r="AB80" i="34"/>
  <c r="AA80" i="34"/>
  <c r="S87" i="34"/>
  <c r="AB82" i="34"/>
  <c r="AA82" i="34"/>
  <c r="AB70" i="34"/>
  <c r="AA70" i="34"/>
  <c r="K43" i="33"/>
  <c r="G45" i="33"/>
  <c r="X65" i="33"/>
  <c r="X75" i="33" s="1"/>
  <c r="AB67" i="33"/>
  <c r="AA67" i="33" s="1"/>
  <c r="L45" i="33"/>
  <c r="L84" i="33" s="1"/>
  <c r="M84" i="33" s="1"/>
  <c r="AB71" i="33"/>
  <c r="AA71" i="33" s="1"/>
  <c r="T34" i="33"/>
  <c r="AB30" i="33"/>
  <c r="AA30" i="33" s="1"/>
  <c r="AB64" i="33"/>
  <c r="AA64" i="33" s="1"/>
  <c r="AB23" i="33"/>
  <c r="AA23" i="33"/>
  <c r="AB53" i="33"/>
  <c r="AA53" i="33" s="1"/>
  <c r="AB29" i="33"/>
  <c r="AA29" i="33" s="1"/>
  <c r="H15" i="33"/>
  <c r="AA58" i="33"/>
  <c r="AB58" i="33"/>
  <c r="AB62" i="33"/>
  <c r="AA62" i="33" s="1"/>
  <c r="AB73" i="33"/>
  <c r="AA73" i="33" s="1"/>
  <c r="AB69" i="33"/>
  <c r="AA69" i="33" s="1"/>
  <c r="X31" i="33"/>
  <c r="W31" i="33" s="1"/>
  <c r="AB27" i="33"/>
  <c r="X24" i="33"/>
  <c r="AB21" i="33"/>
  <c r="X59" i="33"/>
  <c r="AB49" i="33"/>
  <c r="AA49" i="33" s="1"/>
  <c r="AB63" i="33"/>
  <c r="AA63" i="33" s="1"/>
  <c r="AB50" i="33"/>
  <c r="AA50" i="33" s="1"/>
  <c r="AB74" i="33"/>
  <c r="AA74" i="33" s="1"/>
  <c r="T37" i="33"/>
  <c r="T36" i="33"/>
  <c r="T35" i="33"/>
  <c r="T40" i="33"/>
  <c r="T39" i="33"/>
  <c r="W21" i="33"/>
  <c r="S89" i="32"/>
  <c r="K55" i="32"/>
  <c r="AB81" i="32"/>
  <c r="AA81" i="32" s="1"/>
  <c r="AB88" i="32"/>
  <c r="AA88" i="32"/>
  <c r="AB62" i="32"/>
  <c r="AA62" i="32" s="1"/>
  <c r="AB75" i="32"/>
  <c r="AA75" i="32" s="1"/>
  <c r="T46" i="32"/>
  <c r="W32" i="32"/>
  <c r="AA26" i="32"/>
  <c r="AB26" i="32"/>
  <c r="H7" i="32"/>
  <c r="AA39" i="32"/>
  <c r="AB39" i="32"/>
  <c r="AB66" i="32"/>
  <c r="AA66" i="32" s="1"/>
  <c r="X89" i="32"/>
  <c r="W89" i="32" s="1"/>
  <c r="AB74" i="32"/>
  <c r="AA74" i="32" s="1"/>
  <c r="AB83" i="32"/>
  <c r="AA83" i="32" s="1"/>
  <c r="AB77" i="32"/>
  <c r="AA77" i="32" s="1"/>
  <c r="AB37" i="32"/>
  <c r="AA37" i="32" s="1"/>
  <c r="AB65" i="32"/>
  <c r="AA65" i="32" s="1"/>
  <c r="K57" i="32"/>
  <c r="AB79" i="32"/>
  <c r="AA79" i="32" s="1"/>
  <c r="X43" i="32"/>
  <c r="W43" i="32" s="1"/>
  <c r="AB35" i="32"/>
  <c r="AA35" i="32" s="1"/>
  <c r="X71" i="32"/>
  <c r="AA41" i="32"/>
  <c r="AB41" i="32"/>
  <c r="AB85" i="32"/>
  <c r="AA85" i="32" s="1"/>
  <c r="T52" i="32"/>
  <c r="T49" i="32"/>
  <c r="T47" i="32"/>
  <c r="S47" i="32" s="1"/>
  <c r="T51" i="32"/>
  <c r="T48" i="32"/>
  <c r="AA24" i="32"/>
  <c r="AB24" i="32"/>
  <c r="AB50" i="32"/>
  <c r="AA50" i="32" s="1"/>
  <c r="AB45" i="31"/>
  <c r="AA45" i="31" s="1"/>
  <c r="X64" i="31"/>
  <c r="AB119" i="31"/>
  <c r="AA119" i="31" s="1"/>
  <c r="X113" i="31"/>
  <c r="X147" i="31" s="1"/>
  <c r="H93" i="31"/>
  <c r="H179" i="31" s="1"/>
  <c r="G91" i="31"/>
  <c r="AB98" i="31"/>
  <c r="AA98" i="31" s="1"/>
  <c r="AB117" i="31"/>
  <c r="AA117" i="31" s="1"/>
  <c r="T79" i="31"/>
  <c r="S79" i="31" s="1"/>
  <c r="X67" i="31"/>
  <c r="W67" i="31" s="1"/>
  <c r="AB112" i="31"/>
  <c r="AA112" i="31" s="1"/>
  <c r="AB115" i="31"/>
  <c r="AA115" i="31" s="1"/>
  <c r="H7" i="31"/>
  <c r="AB111" i="31"/>
  <c r="AA111" i="31" s="1"/>
  <c r="AB100" i="31"/>
  <c r="AA100" i="31" s="1"/>
  <c r="AB101" i="31"/>
  <c r="AA101" i="31" s="1"/>
  <c r="W98" i="31"/>
  <c r="K87" i="31"/>
  <c r="S147" i="31"/>
  <c r="O147" i="31"/>
  <c r="W117" i="31"/>
  <c r="S67" i="31"/>
  <c r="AB110" i="31"/>
  <c r="AA110" i="31" s="1"/>
  <c r="S82" i="31"/>
  <c r="W45" i="31"/>
  <c r="AA43" i="31"/>
  <c r="W119" i="31"/>
  <c r="T107" i="31"/>
  <c r="K84" i="31"/>
  <c r="P85" i="31"/>
  <c r="P84" i="31"/>
  <c r="P88" i="31"/>
  <c r="P87" i="31"/>
  <c r="P83" i="31"/>
  <c r="W112" i="31"/>
  <c r="K83" i="31"/>
  <c r="AB121" i="31"/>
  <c r="AA121" i="31" s="1"/>
  <c r="AB102" i="31"/>
  <c r="AA102" i="31" s="1"/>
  <c r="X99" i="31"/>
  <c r="X107" i="31" s="1"/>
  <c r="AB68" i="31"/>
  <c r="AA68" i="31" s="1"/>
  <c r="AA106" i="31"/>
  <c r="AB106" i="31"/>
  <c r="O82" i="31"/>
  <c r="M92" i="32" l="1"/>
  <c r="Q92" i="32"/>
  <c r="K57" i="34"/>
  <c r="AB32" i="32"/>
  <c r="G92" i="32"/>
  <c r="O87" i="31"/>
  <c r="O84" i="31"/>
  <c r="W99" i="31"/>
  <c r="O85" i="31"/>
  <c r="S52" i="34"/>
  <c r="AB32" i="34"/>
  <c r="AB43" i="34"/>
  <c r="AB87" i="34"/>
  <c r="AA87" i="34" s="1"/>
  <c r="H15" i="34"/>
  <c r="X47" i="34"/>
  <c r="X51" i="34"/>
  <c r="X48" i="34"/>
  <c r="X52" i="34"/>
  <c r="W52" i="34" s="1"/>
  <c r="X49" i="34"/>
  <c r="T55" i="34"/>
  <c r="S55" i="34" s="1"/>
  <c r="AA74" i="34"/>
  <c r="P57" i="34"/>
  <c r="P100" i="34"/>
  <c r="P102" i="34" s="1"/>
  <c r="S51" i="34"/>
  <c r="H103" i="34"/>
  <c r="K90" i="34"/>
  <c r="H92" i="34"/>
  <c r="G90" i="34"/>
  <c r="L103" i="34"/>
  <c r="L92" i="34"/>
  <c r="AB71" i="34"/>
  <c r="AA71" i="34" s="1"/>
  <c r="AB31" i="33"/>
  <c r="AB36" i="33" s="1"/>
  <c r="AB24" i="33"/>
  <c r="W75" i="33"/>
  <c r="AA21" i="33"/>
  <c r="AA27" i="33"/>
  <c r="W65" i="33"/>
  <c r="S35" i="33"/>
  <c r="X40" i="33"/>
  <c r="X39" i="33"/>
  <c r="X37" i="33"/>
  <c r="X36" i="33"/>
  <c r="W36" i="33" s="1"/>
  <c r="X35" i="33"/>
  <c r="AA31" i="33"/>
  <c r="T43" i="33"/>
  <c r="S36" i="33"/>
  <c r="AB59" i="33"/>
  <c r="AA59" i="33" s="1"/>
  <c r="AA24" i="33"/>
  <c r="W24" i="33"/>
  <c r="W59" i="33"/>
  <c r="H97" i="33"/>
  <c r="H86" i="33"/>
  <c r="H88" i="33" s="1"/>
  <c r="H90" i="33" s="1"/>
  <c r="G84" i="33"/>
  <c r="AB65" i="33"/>
  <c r="AB75" i="33" s="1"/>
  <c r="K45" i="33"/>
  <c r="AB71" i="32"/>
  <c r="AA71" i="32" s="1"/>
  <c r="W71" i="32"/>
  <c r="S48" i="32"/>
  <c r="AB43" i="32"/>
  <c r="AB48" i="32" s="1"/>
  <c r="H105" i="32"/>
  <c r="K92" i="32"/>
  <c r="H94" i="32"/>
  <c r="G94" i="32" s="1"/>
  <c r="H15" i="32"/>
  <c r="G15" i="32" s="1"/>
  <c r="AB89" i="32"/>
  <c r="AA89" i="32" s="1"/>
  <c r="T55" i="32"/>
  <c r="W46" i="32"/>
  <c r="L105" i="32"/>
  <c r="L94" i="32"/>
  <c r="X51" i="32"/>
  <c r="X48" i="32"/>
  <c r="X52" i="32"/>
  <c r="X49" i="32"/>
  <c r="W49" i="32" s="1"/>
  <c r="X47" i="32"/>
  <c r="L93" i="31"/>
  <c r="K91" i="31"/>
  <c r="AB64" i="31"/>
  <c r="AB99" i="31"/>
  <c r="AB107" i="31" s="1"/>
  <c r="AA107" i="31" s="1"/>
  <c r="W107" i="31"/>
  <c r="S107" i="31"/>
  <c r="G93" i="31"/>
  <c r="W147" i="31"/>
  <c r="X79" i="31"/>
  <c r="W79" i="31" s="1"/>
  <c r="AB67" i="31"/>
  <c r="AB79" i="31" s="1"/>
  <c r="W64" i="31"/>
  <c r="P91" i="31"/>
  <c r="AB113" i="31"/>
  <c r="AB147" i="31" s="1"/>
  <c r="O83" i="31"/>
  <c r="O88" i="31"/>
  <c r="T88" i="31"/>
  <c r="T87" i="31"/>
  <c r="T85" i="31"/>
  <c r="T84" i="31"/>
  <c r="T83" i="31"/>
  <c r="W113" i="31"/>
  <c r="L179" i="31" l="1"/>
  <c r="M93" i="31"/>
  <c r="Q93" i="31"/>
  <c r="AA43" i="32"/>
  <c r="O57" i="34"/>
  <c r="P90" i="34"/>
  <c r="AA65" i="33"/>
  <c r="AA99" i="31"/>
  <c r="AA113" i="31"/>
  <c r="AA67" i="31"/>
  <c r="K93" i="31"/>
  <c r="AB52" i="34"/>
  <c r="AA52" i="34" s="1"/>
  <c r="AA32" i="34"/>
  <c r="W48" i="34"/>
  <c r="AB51" i="34"/>
  <c r="AA51" i="34" s="1"/>
  <c r="W47" i="34"/>
  <c r="AB49" i="34"/>
  <c r="AA49" i="34" s="1"/>
  <c r="AA43" i="34"/>
  <c r="W49" i="34"/>
  <c r="W51" i="34"/>
  <c r="AB47" i="34"/>
  <c r="AA47" i="34" s="1"/>
  <c r="AB48" i="34"/>
  <c r="AA48" i="34" s="1"/>
  <c r="K92" i="34"/>
  <c r="G92" i="34"/>
  <c r="G15" i="34"/>
  <c r="T57" i="34"/>
  <c r="S57" i="34" s="1"/>
  <c r="T100" i="34"/>
  <c r="T102" i="34" s="1"/>
  <c r="H94" i="34"/>
  <c r="AB40" i="33"/>
  <c r="AA40" i="33" s="1"/>
  <c r="AB35" i="33"/>
  <c r="AA35" i="33" s="1"/>
  <c r="AB39" i="33"/>
  <c r="AA39" i="33" s="1"/>
  <c r="AB37" i="33"/>
  <c r="AA37" i="33" s="1"/>
  <c r="W40" i="33"/>
  <c r="AA75" i="33"/>
  <c r="L7" i="33"/>
  <c r="G88" i="33"/>
  <c r="L97" i="33"/>
  <c r="L86" i="33"/>
  <c r="K86" i="33" s="1"/>
  <c r="W39" i="33"/>
  <c r="W35" i="33"/>
  <c r="T45" i="33"/>
  <c r="T94" i="33"/>
  <c r="T96" i="33" s="1"/>
  <c r="AA36" i="33"/>
  <c r="G15" i="33"/>
  <c r="W37" i="33"/>
  <c r="G86" i="33"/>
  <c r="K84" i="33"/>
  <c r="AA48" i="32"/>
  <c r="AB47" i="32"/>
  <c r="AA47" i="32" s="1"/>
  <c r="W47" i="32"/>
  <c r="W52" i="32"/>
  <c r="W51" i="32"/>
  <c r="W48" i="32"/>
  <c r="AB49" i="32"/>
  <c r="AA49" i="32" s="1"/>
  <c r="H96" i="32"/>
  <c r="G96" i="32" s="1"/>
  <c r="AB52" i="32"/>
  <c r="AA52" i="32" s="1"/>
  <c r="AB51" i="32"/>
  <c r="AA51" i="32" s="1"/>
  <c r="T57" i="32"/>
  <c r="T102" i="32"/>
  <c r="T104" i="32" s="1"/>
  <c r="K94" i="32"/>
  <c r="AA64" i="31"/>
  <c r="AA147" i="31"/>
  <c r="T91" i="31"/>
  <c r="T179" i="31" s="1"/>
  <c r="P93" i="31"/>
  <c r="P179" i="31" s="1"/>
  <c r="O91" i="31"/>
  <c r="AB85" i="31"/>
  <c r="AB84" i="31"/>
  <c r="AB83" i="31"/>
  <c r="AB88" i="31"/>
  <c r="AB87" i="31"/>
  <c r="S88" i="31"/>
  <c r="S87" i="31"/>
  <c r="S83" i="31"/>
  <c r="X85" i="31"/>
  <c r="X84" i="31"/>
  <c r="X83" i="31"/>
  <c r="AA79" i="31"/>
  <c r="X88" i="31"/>
  <c r="X87" i="31"/>
  <c r="S85" i="31"/>
  <c r="S84" i="31"/>
  <c r="L7" i="32" l="1"/>
  <c r="L15" i="32" s="1"/>
  <c r="M15" i="32" s="1"/>
  <c r="AA84" i="31"/>
  <c r="AA83" i="31"/>
  <c r="P103" i="34"/>
  <c r="P92" i="34"/>
  <c r="O90" i="34"/>
  <c r="L7" i="34"/>
  <c r="G94" i="34"/>
  <c r="T90" i="34"/>
  <c r="T84" i="33"/>
  <c r="L88" i="33"/>
  <c r="M88" i="33" s="1"/>
  <c r="L15" i="33"/>
  <c r="M15" i="33" s="1"/>
  <c r="T92" i="32"/>
  <c r="AA88" i="31"/>
  <c r="AA85" i="31"/>
  <c r="AA87" i="31"/>
  <c r="O93" i="31"/>
  <c r="W87" i="31"/>
  <c r="W85" i="31"/>
  <c r="T93" i="31"/>
  <c r="S93" i="31" s="1"/>
  <c r="W88" i="31"/>
  <c r="W84" i="31"/>
  <c r="S91" i="31"/>
  <c r="W83" i="31"/>
  <c r="L96" i="32" l="1"/>
  <c r="T103" i="34"/>
  <c r="T92" i="34"/>
  <c r="O92" i="34"/>
  <c r="L94" i="34"/>
  <c r="L15" i="34"/>
  <c r="S90" i="34"/>
  <c r="K15" i="33"/>
  <c r="T97" i="33"/>
  <c r="T86" i="33"/>
  <c r="P7" i="33"/>
  <c r="K88" i="33"/>
  <c r="K15" i="32"/>
  <c r="T105" i="32"/>
  <c r="T94" i="32"/>
  <c r="T169" i="31"/>
  <c r="P7" i="32" l="1"/>
  <c r="P15" i="32" s="1"/>
  <c r="Q15" i="32" s="1"/>
  <c r="M96" i="32"/>
  <c r="P7" i="34"/>
  <c r="K94" i="34"/>
  <c r="S92" i="34"/>
  <c r="K15" i="34"/>
  <c r="P15" i="33"/>
  <c r="Q15" i="33" s="1"/>
  <c r="T171" i="31"/>
  <c r="P94" i="34" l="1"/>
  <c r="P15" i="34"/>
  <c r="S15" i="33"/>
  <c r="O15" i="33"/>
  <c r="S15" i="32"/>
  <c r="O15" i="32"/>
  <c r="S15" i="34" l="1"/>
  <c r="O15" i="34"/>
  <c r="T7" i="34"/>
  <c r="T94" i="34" s="1"/>
  <c r="O94" i="34"/>
  <c r="X7" i="34" l="1"/>
  <c r="S94" i="34"/>
  <c r="G30" i="30" l="1"/>
  <c r="D71" i="30" l="1"/>
  <c r="F42" i="26" s="1"/>
  <c r="K70" i="30"/>
  <c r="G70" i="30"/>
  <c r="G69" i="30"/>
  <c r="M70" i="30"/>
  <c r="M69" i="30"/>
  <c r="L69" i="30" s="1"/>
  <c r="O69" i="30" s="1"/>
  <c r="Q70" i="30"/>
  <c r="Q69" i="30"/>
  <c r="L53" i="30"/>
  <c r="L30" i="30"/>
  <c r="K30" i="30" s="1"/>
  <c r="G25" i="30"/>
  <c r="G31" i="30"/>
  <c r="Q28" i="30"/>
  <c r="Q27" i="30"/>
  <c r="M28" i="30"/>
  <c r="D32" i="30"/>
  <c r="F26" i="26" s="1"/>
  <c r="AC84" i="30"/>
  <c r="Y84" i="30"/>
  <c r="U84" i="30"/>
  <c r="AC83" i="30"/>
  <c r="Y83" i="30"/>
  <c r="U83" i="30"/>
  <c r="AC82" i="30"/>
  <c r="Y82" i="30"/>
  <c r="U82" i="30"/>
  <c r="AC81" i="30"/>
  <c r="Y81" i="30"/>
  <c r="U81" i="30"/>
  <c r="AC80" i="30"/>
  <c r="Y80" i="30"/>
  <c r="U80" i="30"/>
  <c r="AC79" i="30"/>
  <c r="Y79" i="30"/>
  <c r="U79" i="30"/>
  <c r="AC78" i="30"/>
  <c r="Y78" i="30"/>
  <c r="U78" i="30"/>
  <c r="AC77" i="30"/>
  <c r="Y77" i="30"/>
  <c r="U77" i="30"/>
  <c r="AC76" i="30"/>
  <c r="Y76" i="30"/>
  <c r="U76" i="30"/>
  <c r="AC75" i="30"/>
  <c r="Y75" i="30"/>
  <c r="U75" i="30"/>
  <c r="G75" i="30"/>
  <c r="AC74" i="30"/>
  <c r="Y74" i="30"/>
  <c r="U74" i="30"/>
  <c r="G74" i="30"/>
  <c r="AC70" i="30"/>
  <c r="Y70" i="30"/>
  <c r="U70" i="30"/>
  <c r="AC64" i="30"/>
  <c r="Y64" i="30"/>
  <c r="U64" i="30"/>
  <c r="G64" i="30"/>
  <c r="AC63" i="30"/>
  <c r="Y63" i="30"/>
  <c r="U63" i="30"/>
  <c r="G63" i="30"/>
  <c r="AC62" i="30"/>
  <c r="Y62" i="30"/>
  <c r="U62" i="30"/>
  <c r="G62" i="30"/>
  <c r="AC61" i="30"/>
  <c r="Y61" i="30"/>
  <c r="U61" i="30"/>
  <c r="G61" i="30"/>
  <c r="AC52" i="30"/>
  <c r="Y52" i="30"/>
  <c r="U52" i="30"/>
  <c r="Q52" i="30"/>
  <c r="M52" i="30"/>
  <c r="I52" i="30"/>
  <c r="E52" i="30"/>
  <c r="AC51" i="30"/>
  <c r="Y51" i="30"/>
  <c r="U51" i="30"/>
  <c r="Q51" i="30"/>
  <c r="M51" i="30"/>
  <c r="I51" i="30"/>
  <c r="E51" i="30"/>
  <c r="AC50" i="30"/>
  <c r="Y50" i="30"/>
  <c r="U50" i="30"/>
  <c r="Q50" i="30"/>
  <c r="M50" i="30"/>
  <c r="I50" i="30"/>
  <c r="AC49" i="30"/>
  <c r="Y49" i="30"/>
  <c r="U49" i="30"/>
  <c r="Q49" i="30"/>
  <c r="M49" i="30"/>
  <c r="I49" i="30"/>
  <c r="E49" i="30"/>
  <c r="AC48" i="30"/>
  <c r="Y48" i="30"/>
  <c r="U48" i="30"/>
  <c r="Q48" i="30"/>
  <c r="M48" i="30"/>
  <c r="I48" i="30"/>
  <c r="E48" i="30"/>
  <c r="AC47" i="30"/>
  <c r="Y47" i="30"/>
  <c r="U47" i="30"/>
  <c r="Q47" i="30"/>
  <c r="M47" i="30"/>
  <c r="I47" i="30"/>
  <c r="E47" i="30"/>
  <c r="U46" i="30"/>
  <c r="Q46" i="30"/>
  <c r="M46" i="30"/>
  <c r="I46" i="30"/>
  <c r="E46" i="30"/>
  <c r="D43" i="30"/>
  <c r="F27" i="26" s="1"/>
  <c r="AC41" i="30"/>
  <c r="Y41" i="30"/>
  <c r="U41" i="30"/>
  <c r="Q41" i="30"/>
  <c r="M41" i="30"/>
  <c r="I41" i="30"/>
  <c r="H41" i="30"/>
  <c r="G41" i="30"/>
  <c r="AC40" i="30"/>
  <c r="Y40" i="30"/>
  <c r="U40" i="30"/>
  <c r="Q40" i="30"/>
  <c r="M40" i="30"/>
  <c r="K40" i="30"/>
  <c r="I40" i="30"/>
  <c r="H40" i="30"/>
  <c r="L40" i="30" s="1"/>
  <c r="O40" i="30" s="1"/>
  <c r="G40" i="30"/>
  <c r="AC39" i="30"/>
  <c r="Y39" i="30"/>
  <c r="U39" i="30"/>
  <c r="Q39" i="30"/>
  <c r="M39" i="30"/>
  <c r="I39" i="30"/>
  <c r="H39" i="30"/>
  <c r="L39" i="30" s="1"/>
  <c r="O39" i="30" s="1"/>
  <c r="G39" i="30"/>
  <c r="AC38" i="30"/>
  <c r="Y38" i="30"/>
  <c r="U38" i="30"/>
  <c r="AC37" i="30"/>
  <c r="Y37" i="30"/>
  <c r="U37" i="30"/>
  <c r="Q37" i="30"/>
  <c r="M37" i="30"/>
  <c r="L37" i="30"/>
  <c r="P37" i="30" s="1"/>
  <c r="T37" i="30" s="1"/>
  <c r="AC36" i="30"/>
  <c r="Y36" i="30"/>
  <c r="U36" i="30"/>
  <c r="Q36" i="30"/>
  <c r="M36" i="30"/>
  <c r="AC35" i="30"/>
  <c r="Y35" i="30"/>
  <c r="U35" i="30"/>
  <c r="Q35" i="30"/>
  <c r="M35" i="30"/>
  <c r="G35" i="30"/>
  <c r="AC28" i="30"/>
  <c r="Y28" i="30"/>
  <c r="U28" i="30"/>
  <c r="L28" i="30"/>
  <c r="P28" i="30" s="1"/>
  <c r="AC27" i="30"/>
  <c r="Y27" i="30"/>
  <c r="U27" i="30"/>
  <c r="M27" i="30"/>
  <c r="L27" i="30"/>
  <c r="P27" i="30" s="1"/>
  <c r="AC26" i="30"/>
  <c r="Y26" i="30"/>
  <c r="U26" i="30"/>
  <c r="Q26" i="30"/>
  <c r="M26" i="30"/>
  <c r="G26" i="30"/>
  <c r="AC25" i="30"/>
  <c r="Y25" i="30"/>
  <c r="U25" i="30"/>
  <c r="AC24" i="30"/>
  <c r="Y24" i="30"/>
  <c r="U24" i="30"/>
  <c r="T24" i="30"/>
  <c r="AC23" i="30"/>
  <c r="Y23" i="30"/>
  <c r="U23" i="30"/>
  <c r="Q23" i="30"/>
  <c r="M23" i="30"/>
  <c r="AC22" i="30"/>
  <c r="Y22" i="30"/>
  <c r="U22" i="30"/>
  <c r="Q22" i="30"/>
  <c r="M22" i="30"/>
  <c r="G22" i="30"/>
  <c r="AC21" i="30"/>
  <c r="Y21" i="30"/>
  <c r="U21" i="30"/>
  <c r="Q21" i="30"/>
  <c r="M21" i="30"/>
  <c r="L21" i="30"/>
  <c r="AB10" i="30"/>
  <c r="X10" i="30"/>
  <c r="AA10" i="30" s="1"/>
  <c r="T10" i="30"/>
  <c r="W10" i="30" s="1"/>
  <c r="P10" i="30"/>
  <c r="S10" i="30" s="1"/>
  <c r="L10" i="30"/>
  <c r="O10" i="30" s="1"/>
  <c r="K10" i="30"/>
  <c r="G10" i="30"/>
  <c r="D11" i="30"/>
  <c r="H6" i="30"/>
  <c r="L6" i="30" s="1"/>
  <c r="P6" i="30" s="1"/>
  <c r="T6" i="30" s="1"/>
  <c r="X6" i="30" s="1"/>
  <c r="AB6" i="30" s="1"/>
  <c r="AB3" i="30"/>
  <c r="AB9" i="30" s="1"/>
  <c r="X3" i="30"/>
  <c r="X9" i="30" s="1"/>
  <c r="T3" i="30"/>
  <c r="T9" i="30" s="1"/>
  <c r="P3" i="30"/>
  <c r="L3" i="30"/>
  <c r="H3" i="30"/>
  <c r="D3" i="30"/>
  <c r="E67" i="26"/>
  <c r="E18" i="26"/>
  <c r="E19" i="26"/>
  <c r="E20" i="26"/>
  <c r="D19" i="26"/>
  <c r="D20" i="26"/>
  <c r="D18" i="26"/>
  <c r="E66" i="28"/>
  <c r="E65" i="28"/>
  <c r="E64" i="28"/>
  <c r="E58" i="28"/>
  <c r="E17" i="28"/>
  <c r="E53" i="28"/>
  <c r="E16" i="28"/>
  <c r="E52" i="28"/>
  <c r="E15" i="28"/>
  <c r="E48" i="28"/>
  <c r="E47" i="28"/>
  <c r="E46" i="28"/>
  <c r="E44" i="28"/>
  <c r="E43" i="28"/>
  <c r="E42" i="28"/>
  <c r="E39" i="28"/>
  <c r="E38" i="28"/>
  <c r="E37" i="28"/>
  <c r="E36" i="28"/>
  <c r="E35" i="28"/>
  <c r="E34" i="28"/>
  <c r="E33" i="28"/>
  <c r="E32" i="28"/>
  <c r="E27" i="28"/>
  <c r="E26" i="28"/>
  <c r="E11" i="28"/>
  <c r="E10" i="28"/>
  <c r="E9" i="28"/>
  <c r="E8" i="28"/>
  <c r="E7" i="28"/>
  <c r="E6" i="28"/>
  <c r="E4" i="28"/>
  <c r="E1" i="26"/>
  <c r="E1" i="27" s="1"/>
  <c r="F1" i="28"/>
  <c r="G1" i="28" s="1"/>
  <c r="M47" i="5"/>
  <c r="E47" i="5"/>
  <c r="E46" i="5"/>
  <c r="AF51" i="5"/>
  <c r="AE51" i="5"/>
  <c r="AD51" i="5"/>
  <c r="Y50" i="5"/>
  <c r="C47" i="5"/>
  <c r="C46" i="5"/>
  <c r="H51" i="15"/>
  <c r="L51" i="15" s="1"/>
  <c r="G51" i="15"/>
  <c r="L61" i="13"/>
  <c r="H51" i="14"/>
  <c r="L51" i="14" s="1"/>
  <c r="G51" i="14"/>
  <c r="H51" i="12"/>
  <c r="L51" i="12" s="1"/>
  <c r="G51" i="12"/>
  <c r="P51" i="19"/>
  <c r="T51" i="19" s="1"/>
  <c r="G51" i="19"/>
  <c r="H51" i="11"/>
  <c r="L51" i="11" s="1"/>
  <c r="G51" i="11"/>
  <c r="G51" i="10"/>
  <c r="L51" i="7"/>
  <c r="P51" i="7" s="1"/>
  <c r="K51" i="7"/>
  <c r="G51" i="7"/>
  <c r="I18" i="27"/>
  <c r="G18" i="27"/>
  <c r="H18" i="27"/>
  <c r="G20" i="27"/>
  <c r="G20" i="26" s="1"/>
  <c r="G20" i="28" s="1"/>
  <c r="F20" i="27"/>
  <c r="F20" i="26" s="1"/>
  <c r="F20" i="28" s="1"/>
  <c r="N20" i="28" s="1"/>
  <c r="F19" i="27"/>
  <c r="F19" i="26" s="1"/>
  <c r="F18" i="27"/>
  <c r="F16" i="28"/>
  <c r="N16" i="28" s="1"/>
  <c r="D41" i="23"/>
  <c r="F10" i="27"/>
  <c r="F9" i="27"/>
  <c r="F9" i="28" s="1"/>
  <c r="N9" i="28" s="1"/>
  <c r="F4" i="27"/>
  <c r="A79" i="28"/>
  <c r="C77" i="28"/>
  <c r="C75" i="28"/>
  <c r="B74" i="28"/>
  <c r="B67" i="28"/>
  <c r="L66" i="28"/>
  <c r="K66" i="28"/>
  <c r="J66" i="28"/>
  <c r="I66" i="28"/>
  <c r="Q66" i="28" s="1"/>
  <c r="H66" i="28"/>
  <c r="P66" i="28" s="1"/>
  <c r="G66" i="28"/>
  <c r="O66" i="28" s="1"/>
  <c r="F66" i="28"/>
  <c r="N66" i="28" s="1"/>
  <c r="B66" i="28"/>
  <c r="B65" i="28"/>
  <c r="F64" i="28"/>
  <c r="N64" i="28" s="1"/>
  <c r="B64" i="28"/>
  <c r="A63" i="28"/>
  <c r="F58" i="28"/>
  <c r="N58" i="28" s="1"/>
  <c r="L53" i="28"/>
  <c r="K53" i="28"/>
  <c r="J53" i="28"/>
  <c r="I53" i="28"/>
  <c r="Q53" i="28" s="1"/>
  <c r="H53" i="28"/>
  <c r="P53" i="28" s="1"/>
  <c r="G53" i="28"/>
  <c r="O53" i="28" s="1"/>
  <c r="F53" i="28"/>
  <c r="N53" i="28" s="1"/>
  <c r="L16" i="28"/>
  <c r="K16" i="28"/>
  <c r="J16" i="28"/>
  <c r="I16" i="28"/>
  <c r="Q16" i="28" s="1"/>
  <c r="H16" i="28"/>
  <c r="P16" i="28" s="1"/>
  <c r="G16" i="28"/>
  <c r="O16" i="28" s="1"/>
  <c r="F52" i="28"/>
  <c r="N52" i="28" s="1"/>
  <c r="L15" i="28"/>
  <c r="K15" i="28"/>
  <c r="J15" i="28"/>
  <c r="I15" i="28"/>
  <c r="Q15" i="28" s="1"/>
  <c r="H15" i="28"/>
  <c r="P15" i="28" s="1"/>
  <c r="G15" i="28"/>
  <c r="O15" i="28" s="1"/>
  <c r="F15" i="28"/>
  <c r="L32" i="28"/>
  <c r="K32" i="28"/>
  <c r="J32" i="28"/>
  <c r="L11" i="28"/>
  <c r="K11" i="28"/>
  <c r="J11" i="28"/>
  <c r="I11" i="28"/>
  <c r="Q11" i="28" s="1"/>
  <c r="H11" i="28"/>
  <c r="P11" i="28" s="1"/>
  <c r="G11" i="28"/>
  <c r="O11" i="28" s="1"/>
  <c r="F11" i="28"/>
  <c r="N11" i="28" s="1"/>
  <c r="L9" i="28"/>
  <c r="K9" i="28"/>
  <c r="J9" i="28"/>
  <c r="I9" i="28"/>
  <c r="Q9" i="28" s="1"/>
  <c r="H9" i="28"/>
  <c r="P9" i="28" s="1"/>
  <c r="L7" i="28"/>
  <c r="K7" i="28"/>
  <c r="J7" i="28"/>
  <c r="G52" i="27"/>
  <c r="G54" i="27" s="1"/>
  <c r="C42" i="27"/>
  <c r="G68" i="26"/>
  <c r="G68" i="28" s="1"/>
  <c r="O68" i="28" s="1"/>
  <c r="G64" i="26"/>
  <c r="F21" i="27" l="1"/>
  <c r="N22" i="28"/>
  <c r="F19" i="28"/>
  <c r="N19" i="28" s="1"/>
  <c r="N15" i="28"/>
  <c r="K51" i="12"/>
  <c r="O51" i="19"/>
  <c r="K51" i="19"/>
  <c r="F54" i="28"/>
  <c r="N54" i="28" s="1"/>
  <c r="J33" i="28"/>
  <c r="K34" i="28"/>
  <c r="L35" i="28"/>
  <c r="K38" i="28"/>
  <c r="L39" i="28"/>
  <c r="I18" i="26"/>
  <c r="I18" i="28" s="1"/>
  <c r="F18" i="26"/>
  <c r="H18" i="26"/>
  <c r="H18" i="28" s="1"/>
  <c r="G18" i="26"/>
  <c r="G18" i="28" s="1"/>
  <c r="L37" i="28"/>
  <c r="L33" i="28"/>
  <c r="G83" i="30"/>
  <c r="G79" i="30"/>
  <c r="G82" i="30"/>
  <c r="K82" i="30"/>
  <c r="G76" i="30"/>
  <c r="K76" i="30"/>
  <c r="G80" i="30"/>
  <c r="K80" i="30"/>
  <c r="G78" i="30"/>
  <c r="K78" i="30"/>
  <c r="G81" i="30"/>
  <c r="G84" i="30"/>
  <c r="G77" i="30"/>
  <c r="E54" i="26"/>
  <c r="L34" i="28"/>
  <c r="L38" i="28"/>
  <c r="E67" i="28"/>
  <c r="J43" i="28"/>
  <c r="G67" i="26"/>
  <c r="H68" i="26"/>
  <c r="I68" i="26" s="1"/>
  <c r="I67" i="26" s="1"/>
  <c r="E49" i="28"/>
  <c r="E75" i="26" s="1"/>
  <c r="E54" i="28"/>
  <c r="E12" i="28"/>
  <c r="K69" i="30"/>
  <c r="G67" i="30"/>
  <c r="L70" i="30"/>
  <c r="O70" i="30" s="1"/>
  <c r="K67" i="30"/>
  <c r="O67" i="30"/>
  <c r="P69" i="30"/>
  <c r="T11" i="30"/>
  <c r="W11" i="30" s="1"/>
  <c r="D57" i="30"/>
  <c r="G38" i="30"/>
  <c r="L11" i="30"/>
  <c r="L13" i="30" s="1"/>
  <c r="AB11" i="30"/>
  <c r="G53" i="30"/>
  <c r="G23" i="30"/>
  <c r="L23" i="30"/>
  <c r="P23" i="30" s="1"/>
  <c r="T23" i="30" s="1"/>
  <c r="S23" i="30" s="1"/>
  <c r="G28" i="30"/>
  <c r="G29" i="30"/>
  <c r="P53" i="30"/>
  <c r="K53" i="30"/>
  <c r="K39" i="30"/>
  <c r="P39" i="30"/>
  <c r="S39" i="30" s="1"/>
  <c r="P30" i="30"/>
  <c r="O30" i="30" s="1"/>
  <c r="G24" i="30"/>
  <c r="K25" i="30"/>
  <c r="K31" i="30"/>
  <c r="H32" i="30"/>
  <c r="G26" i="26" s="1"/>
  <c r="T64" i="30"/>
  <c r="T38" i="30"/>
  <c r="X38" i="30" s="1"/>
  <c r="AB38" i="30" s="1"/>
  <c r="AA38" i="30" s="1"/>
  <c r="K38" i="30"/>
  <c r="G37" i="30"/>
  <c r="O37" i="30"/>
  <c r="L36" i="30"/>
  <c r="G36" i="30"/>
  <c r="G27" i="30"/>
  <c r="K24" i="30"/>
  <c r="L22" i="30"/>
  <c r="P22" i="30" s="1"/>
  <c r="T22" i="30" s="1"/>
  <c r="X22" i="30" s="1"/>
  <c r="W22" i="30" s="1"/>
  <c r="P21" i="30"/>
  <c r="T21" i="30" s="1"/>
  <c r="K21" i="30"/>
  <c r="G21" i="30"/>
  <c r="P11" i="30"/>
  <c r="S9" i="30"/>
  <c r="X24" i="30"/>
  <c r="W24" i="30" s="1"/>
  <c r="D13" i="30"/>
  <c r="D15" i="30" s="1"/>
  <c r="K9" i="30"/>
  <c r="H11" i="30"/>
  <c r="X11" i="30"/>
  <c r="AA9" i="30"/>
  <c r="T25" i="30"/>
  <c r="S25" i="30" s="1"/>
  <c r="X37" i="30"/>
  <c r="W37" i="30" s="1"/>
  <c r="G9" i="30"/>
  <c r="W9" i="30"/>
  <c r="O25" i="30"/>
  <c r="K28" i="30"/>
  <c r="K37" i="30"/>
  <c r="L26" i="30"/>
  <c r="K26" i="30" s="1"/>
  <c r="S37" i="30"/>
  <c r="P40" i="30"/>
  <c r="S24" i="30"/>
  <c r="K41" i="30"/>
  <c r="L41" i="30"/>
  <c r="H43" i="30"/>
  <c r="G27" i="26" s="1"/>
  <c r="L35" i="30"/>
  <c r="K35" i="30" s="1"/>
  <c r="O9" i="30"/>
  <c r="O24" i="30"/>
  <c r="K61" i="30"/>
  <c r="K63" i="30"/>
  <c r="K74" i="30"/>
  <c r="D87" i="30"/>
  <c r="F44" i="26" s="1"/>
  <c r="F49" i="26" s="1"/>
  <c r="K77" i="30"/>
  <c r="K79" i="30"/>
  <c r="K83" i="30"/>
  <c r="K36" i="28"/>
  <c r="E59" i="28"/>
  <c r="H1" i="28"/>
  <c r="G1" i="26"/>
  <c r="F1" i="26"/>
  <c r="K35" i="28"/>
  <c r="K37" i="28"/>
  <c r="K39" i="28"/>
  <c r="K43" i="28"/>
  <c r="L36" i="28"/>
  <c r="J34" i="28"/>
  <c r="F4" i="28"/>
  <c r="N4" i="28" s="1"/>
  <c r="K33" i="28"/>
  <c r="P51" i="15"/>
  <c r="O51" i="15"/>
  <c r="K51" i="15"/>
  <c r="P61" i="13"/>
  <c r="O61" i="13" s="1"/>
  <c r="K61" i="13"/>
  <c r="P51" i="14"/>
  <c r="O51" i="14"/>
  <c r="K51" i="14"/>
  <c r="P51" i="12"/>
  <c r="O51" i="12"/>
  <c r="X51" i="19"/>
  <c r="W51" i="19"/>
  <c r="S51" i="19"/>
  <c r="P51" i="11"/>
  <c r="O51" i="11"/>
  <c r="K51" i="11"/>
  <c r="L51" i="10"/>
  <c r="T51" i="7"/>
  <c r="S51" i="7" s="1"/>
  <c r="O51" i="7"/>
  <c r="L50" i="6"/>
  <c r="J35" i="28"/>
  <c r="J37" i="28"/>
  <c r="F10" i="28"/>
  <c r="N10" i="28" s="1"/>
  <c r="F12" i="26"/>
  <c r="G52" i="28"/>
  <c r="O52" i="28" s="1"/>
  <c r="G64" i="28"/>
  <c r="O64" i="28" s="1"/>
  <c r="H64" i="26"/>
  <c r="I64" i="26" s="1"/>
  <c r="F67" i="28"/>
  <c r="N67" i="28" s="1"/>
  <c r="G67" i="28"/>
  <c r="O67" i="28" s="1"/>
  <c r="J36" i="28"/>
  <c r="J38" i="28"/>
  <c r="J39" i="28"/>
  <c r="L43" i="28"/>
  <c r="H52" i="27"/>
  <c r="H54" i="27" s="1"/>
  <c r="F18" i="28" l="1"/>
  <c r="N18" i="28" s="1"/>
  <c r="G54" i="28"/>
  <c r="O54" i="28" s="1"/>
  <c r="F56" i="26"/>
  <c r="M11" i="30"/>
  <c r="Q11" i="30"/>
  <c r="K84" i="30"/>
  <c r="P84" i="30"/>
  <c r="K81" i="30"/>
  <c r="G11" i="30"/>
  <c r="O53" i="30"/>
  <c r="H68" i="28"/>
  <c r="P68" i="28" s="1"/>
  <c r="F21" i="26"/>
  <c r="F23" i="26" s="1"/>
  <c r="G50" i="30"/>
  <c r="F1" i="27"/>
  <c r="E75" i="28"/>
  <c r="E60" i="28"/>
  <c r="P70" i="30"/>
  <c r="G43" i="30"/>
  <c r="G32" i="30"/>
  <c r="O11" i="30"/>
  <c r="K75" i="30"/>
  <c r="O83" i="30"/>
  <c r="T13" i="30"/>
  <c r="T15" i="30" s="1"/>
  <c r="W15" i="30" s="1"/>
  <c r="K22" i="30"/>
  <c r="O79" i="30"/>
  <c r="K23" i="30"/>
  <c r="O81" i="30"/>
  <c r="O23" i="30"/>
  <c r="H87" i="30"/>
  <c r="O29" i="30"/>
  <c r="K29" i="30"/>
  <c r="H71" i="30"/>
  <c r="O21" i="30"/>
  <c r="K64" i="30"/>
  <c r="O64" i="30"/>
  <c r="O62" i="30"/>
  <c r="K62" i="30"/>
  <c r="T53" i="30"/>
  <c r="S53" i="30" s="1"/>
  <c r="L50" i="30"/>
  <c r="H37" i="26" s="1"/>
  <c r="T39" i="30"/>
  <c r="W39" i="30" s="1"/>
  <c r="O75" i="30"/>
  <c r="L32" i="30"/>
  <c r="O31" i="30"/>
  <c r="S64" i="30"/>
  <c r="S38" i="30"/>
  <c r="O38" i="30"/>
  <c r="W38" i="30"/>
  <c r="P36" i="30"/>
  <c r="O36" i="30" s="1"/>
  <c r="K36" i="30"/>
  <c r="O27" i="30"/>
  <c r="K27" i="30"/>
  <c r="O22" i="30"/>
  <c r="S22" i="30"/>
  <c r="S21" i="30"/>
  <c r="T79" i="30"/>
  <c r="S79" i="30" s="1"/>
  <c r="L87" i="30"/>
  <c r="O74" i="30"/>
  <c r="O84" i="30"/>
  <c r="O76" i="30"/>
  <c r="T62" i="30"/>
  <c r="S62" i="30" s="1"/>
  <c r="AA11" i="30"/>
  <c r="X13" i="30"/>
  <c r="X15" i="30" s="1"/>
  <c r="AA15" i="30" s="1"/>
  <c r="AB24" i="30"/>
  <c r="AA24" i="30" s="1"/>
  <c r="O80" i="30"/>
  <c r="T81" i="30"/>
  <c r="S81" i="30" s="1"/>
  <c r="L43" i="30"/>
  <c r="P35" i="30"/>
  <c r="O35" i="30" s="1"/>
  <c r="P41" i="30"/>
  <c r="O41" i="30"/>
  <c r="X21" i="30"/>
  <c r="W21" i="30" s="1"/>
  <c r="O28" i="30"/>
  <c r="AB37" i="30"/>
  <c r="AA37" i="30" s="1"/>
  <c r="H13" i="30"/>
  <c r="K11" i="30"/>
  <c r="O63" i="30"/>
  <c r="T83" i="30"/>
  <c r="S83" i="30" s="1"/>
  <c r="T75" i="30"/>
  <c r="S75" i="30" s="1"/>
  <c r="O78" i="30"/>
  <c r="S40" i="30"/>
  <c r="T40" i="30"/>
  <c r="P26" i="30"/>
  <c r="O26" i="30" s="1"/>
  <c r="L101" i="30"/>
  <c r="O13" i="30"/>
  <c r="D101" i="30"/>
  <c r="G13" i="30"/>
  <c r="AB13" i="30" s="1"/>
  <c r="D90" i="30"/>
  <c r="D100" i="30"/>
  <c r="X64" i="30"/>
  <c r="W64" i="30" s="1"/>
  <c r="O82" i="30"/>
  <c r="O61" i="30"/>
  <c r="X23" i="30"/>
  <c r="W23" i="30" s="1"/>
  <c r="X25" i="30"/>
  <c r="W25" i="30" s="1"/>
  <c r="AB22" i="30"/>
  <c r="AA22" i="30" s="1"/>
  <c r="S11" i="30"/>
  <c r="P13" i="30"/>
  <c r="I1" i="28"/>
  <c r="I1" i="26" s="1"/>
  <c r="H1" i="26"/>
  <c r="G1" i="27"/>
  <c r="T51" i="15"/>
  <c r="S51" i="15"/>
  <c r="T61" i="13"/>
  <c r="S61" i="13" s="1"/>
  <c r="T51" i="14"/>
  <c r="S51" i="14"/>
  <c r="T51" i="12"/>
  <c r="S51" i="12"/>
  <c r="AB51" i="19"/>
  <c r="AA51" i="19"/>
  <c r="T51" i="11"/>
  <c r="S51" i="11"/>
  <c r="P51" i="10"/>
  <c r="O51" i="10" s="1"/>
  <c r="K51" i="10"/>
  <c r="X51" i="7"/>
  <c r="W51" i="7" s="1"/>
  <c r="G50" i="6"/>
  <c r="P50" i="6"/>
  <c r="O50" i="6" s="1"/>
  <c r="K50" i="6"/>
  <c r="J69" i="26"/>
  <c r="H52" i="28"/>
  <c r="P52" i="28" s="1"/>
  <c r="J46" i="26"/>
  <c r="H64" i="28"/>
  <c r="P64" i="28" s="1"/>
  <c r="H67" i="26"/>
  <c r="I52" i="27"/>
  <c r="I54" i="27" s="1"/>
  <c r="N17" i="28" l="1"/>
  <c r="F21" i="28"/>
  <c r="N21" i="28" s="1"/>
  <c r="H54" i="28"/>
  <c r="P54" i="28" s="1"/>
  <c r="F59" i="26"/>
  <c r="F60" i="26" s="1"/>
  <c r="K43" i="30"/>
  <c r="H27" i="26"/>
  <c r="I68" i="28"/>
  <c r="Q68" i="28" s="1"/>
  <c r="K32" i="30"/>
  <c r="H26" i="26"/>
  <c r="G48" i="30"/>
  <c r="G49" i="30"/>
  <c r="G46" i="30"/>
  <c r="G47" i="30"/>
  <c r="G52" i="30"/>
  <c r="G51" i="30"/>
  <c r="P50" i="30"/>
  <c r="H67" i="28"/>
  <c r="P67" i="28" s="1"/>
  <c r="J68" i="26"/>
  <c r="J70" i="26"/>
  <c r="E77" i="28"/>
  <c r="E79" i="28" s="1"/>
  <c r="G87" i="30"/>
  <c r="G71" i="30"/>
  <c r="G42" i="26"/>
  <c r="H55" i="30"/>
  <c r="G55" i="30" s="1"/>
  <c r="D102" i="30"/>
  <c r="D103" i="30" s="1"/>
  <c r="O77" i="30"/>
  <c r="K87" i="30"/>
  <c r="T101" i="30"/>
  <c r="T36" i="30"/>
  <c r="S36" i="30" s="1"/>
  <c r="T77" i="30"/>
  <c r="W13" i="30"/>
  <c r="X39" i="30"/>
  <c r="AB39" i="30" s="1"/>
  <c r="K50" i="30"/>
  <c r="L71" i="30"/>
  <c r="X53" i="30"/>
  <c r="W53" i="30" s="1"/>
  <c r="L46" i="30"/>
  <c r="T27" i="30"/>
  <c r="T82" i="30"/>
  <c r="S82" i="30" s="1"/>
  <c r="T63" i="30"/>
  <c r="S63" i="30" s="1"/>
  <c r="T28" i="30"/>
  <c r="S28" i="30" s="1"/>
  <c r="P101" i="30"/>
  <c r="S13" i="30"/>
  <c r="AB25" i="30"/>
  <c r="AA25" i="30" s="1"/>
  <c r="P71" i="30"/>
  <c r="T61" i="30"/>
  <c r="S61" i="30" s="1"/>
  <c r="D92" i="30"/>
  <c r="X40" i="30"/>
  <c r="W40" i="30"/>
  <c r="S41" i="30"/>
  <c r="T41" i="30"/>
  <c r="T76" i="30"/>
  <c r="S76" i="30" s="1"/>
  <c r="AB64" i="30"/>
  <c r="AA64" i="30" s="1"/>
  <c r="AB101" i="30"/>
  <c r="AB15" i="30"/>
  <c r="X75" i="30"/>
  <c r="W75" i="30" s="1"/>
  <c r="T70" i="30"/>
  <c r="S70" i="30" s="1"/>
  <c r="H101" i="30"/>
  <c r="K13" i="30"/>
  <c r="P43" i="30"/>
  <c r="T35" i="30"/>
  <c r="S35" i="30" s="1"/>
  <c r="X81" i="30"/>
  <c r="W81" i="30" s="1"/>
  <c r="T74" i="30"/>
  <c r="S74" i="30" s="1"/>
  <c r="P87" i="30"/>
  <c r="X79" i="30"/>
  <c r="W79" i="30" s="1"/>
  <c r="AB23" i="30"/>
  <c r="AA23" i="30" s="1"/>
  <c r="T78" i="30"/>
  <c r="S78" i="30" s="1"/>
  <c r="AB21" i="30"/>
  <c r="AA21" i="30" s="1"/>
  <c r="T80" i="30"/>
  <c r="S80" i="30" s="1"/>
  <c r="X101" i="30"/>
  <c r="AA13" i="30"/>
  <c r="T84" i="30"/>
  <c r="S84" i="30" s="1"/>
  <c r="T26" i="30"/>
  <c r="S26" i="30" s="1"/>
  <c r="X83" i="30"/>
  <c r="W83" i="30" s="1"/>
  <c r="L47" i="30"/>
  <c r="L51" i="30"/>
  <c r="H38" i="26" s="1"/>
  <c r="L48" i="30"/>
  <c r="H35" i="26" s="1"/>
  <c r="L52" i="30"/>
  <c r="H39" i="26" s="1"/>
  <c r="L49" i="30"/>
  <c r="H36" i="26" s="1"/>
  <c r="X62" i="30"/>
  <c r="W62" i="30" s="1"/>
  <c r="J1" i="28"/>
  <c r="H1" i="27"/>
  <c r="W51" i="15"/>
  <c r="X51" i="15"/>
  <c r="X61" i="13"/>
  <c r="W61" i="13" s="1"/>
  <c r="X51" i="14"/>
  <c r="W51" i="14"/>
  <c r="X51" i="12"/>
  <c r="W51" i="12"/>
  <c r="X51" i="11"/>
  <c r="W51" i="11"/>
  <c r="T51" i="10"/>
  <c r="AB51" i="7"/>
  <c r="AA51" i="7"/>
  <c r="T50" i="6"/>
  <c r="I52" i="28"/>
  <c r="Q52" i="28" s="1"/>
  <c r="J52" i="26"/>
  <c r="J71" i="26"/>
  <c r="J69" i="28"/>
  <c r="K69" i="26"/>
  <c r="J47" i="26"/>
  <c r="I64" i="28"/>
  <c r="Q64" i="28" s="1"/>
  <c r="J64" i="26"/>
  <c r="K46" i="26"/>
  <c r="J52" i="27"/>
  <c r="J54" i="27" s="1"/>
  <c r="I54" i="28" l="1"/>
  <c r="Q54" i="28" s="1"/>
  <c r="T50" i="30"/>
  <c r="S50" i="30" s="1"/>
  <c r="O43" i="30"/>
  <c r="I27" i="26"/>
  <c r="G58" i="26"/>
  <c r="K49" i="30"/>
  <c r="K46" i="30"/>
  <c r="K48" i="30"/>
  <c r="O50" i="30"/>
  <c r="K51" i="30"/>
  <c r="J67" i="26"/>
  <c r="I67" i="28"/>
  <c r="Q67" i="28" s="1"/>
  <c r="K68" i="26"/>
  <c r="J68" i="28"/>
  <c r="K70" i="26"/>
  <c r="J70" i="28"/>
  <c r="O87" i="30"/>
  <c r="K71" i="30"/>
  <c r="H42" i="26"/>
  <c r="AA39" i="30"/>
  <c r="S77" i="30"/>
  <c r="X77" i="30"/>
  <c r="W77" i="30" s="1"/>
  <c r="X36" i="30"/>
  <c r="W36" i="30" s="1"/>
  <c r="O71" i="30"/>
  <c r="AB53" i="30"/>
  <c r="AA53" i="30" s="1"/>
  <c r="K47" i="30"/>
  <c r="X27" i="30"/>
  <c r="W27" i="30" s="1"/>
  <c r="S27" i="30"/>
  <c r="K52" i="30"/>
  <c r="AB83" i="30"/>
  <c r="AA83" i="30" s="1"/>
  <c r="X26" i="30"/>
  <c r="W26" i="30" s="1"/>
  <c r="T32" i="30"/>
  <c r="AB62" i="30"/>
  <c r="AA62" i="30" s="1"/>
  <c r="T43" i="30"/>
  <c r="S43" i="30" s="1"/>
  <c r="X35" i="30"/>
  <c r="W35" i="30" s="1"/>
  <c r="X70" i="30"/>
  <c r="W70" i="30" s="1"/>
  <c r="W41" i="30"/>
  <c r="X41" i="30"/>
  <c r="D94" i="30"/>
  <c r="X63" i="30"/>
  <c r="W63" i="30" s="1"/>
  <c r="X84" i="30"/>
  <c r="W84" i="30" s="1"/>
  <c r="X80" i="30"/>
  <c r="W80" i="30" s="1"/>
  <c r="X78" i="30"/>
  <c r="W78" i="30" s="1"/>
  <c r="AB81" i="30"/>
  <c r="AA81" i="30" s="1"/>
  <c r="P48" i="30"/>
  <c r="P47" i="30"/>
  <c r="X28" i="30"/>
  <c r="W28" i="30" s="1"/>
  <c r="AB79" i="30"/>
  <c r="AA79" i="30" s="1"/>
  <c r="X74" i="30"/>
  <c r="W74" i="30" s="1"/>
  <c r="T87" i="30"/>
  <c r="S87" i="30" s="1"/>
  <c r="AB75" i="30"/>
  <c r="AA75" i="30" s="1"/>
  <c r="H57" i="30"/>
  <c r="H100" i="30"/>
  <c r="H102" i="30" s="1"/>
  <c r="K55" i="30"/>
  <c r="X76" i="30"/>
  <c r="W76" i="30" s="1"/>
  <c r="AB40" i="30"/>
  <c r="AA40" i="30"/>
  <c r="X61" i="30"/>
  <c r="W61" i="30" s="1"/>
  <c r="T71" i="30"/>
  <c r="S71" i="30" s="1"/>
  <c r="X50" i="30"/>
  <c r="W50" i="30" s="1"/>
  <c r="X82" i="30"/>
  <c r="W82" i="30" s="1"/>
  <c r="I1" i="27"/>
  <c r="K1" i="28"/>
  <c r="J1" i="26"/>
  <c r="AB51" i="15"/>
  <c r="AA51" i="15"/>
  <c r="AB61" i="13"/>
  <c r="AA61" i="13" s="1"/>
  <c r="AB51" i="14"/>
  <c r="AA51" i="14"/>
  <c r="AB51" i="12"/>
  <c r="AA51" i="12"/>
  <c r="AB51" i="11"/>
  <c r="AA51" i="11"/>
  <c r="X51" i="10"/>
  <c r="S51" i="10"/>
  <c r="X50" i="6"/>
  <c r="W50" i="6" s="1"/>
  <c r="S50" i="6"/>
  <c r="L46" i="26"/>
  <c r="J42" i="26"/>
  <c r="J48" i="26"/>
  <c r="K52" i="27"/>
  <c r="K54" i="27" s="1"/>
  <c r="J64" i="28"/>
  <c r="K64" i="26"/>
  <c r="K47" i="26"/>
  <c r="J71" i="28"/>
  <c r="K71" i="26"/>
  <c r="J8" i="26"/>
  <c r="K69" i="28"/>
  <c r="L69" i="26"/>
  <c r="J10" i="26"/>
  <c r="J52" i="28"/>
  <c r="K52" i="26"/>
  <c r="J27" i="26" l="1"/>
  <c r="K27" i="26" s="1"/>
  <c r="AB77" i="30"/>
  <c r="AA77" i="30" s="1"/>
  <c r="G57" i="30"/>
  <c r="H90" i="30"/>
  <c r="G90" i="30" s="1"/>
  <c r="O47" i="30"/>
  <c r="J67" i="28"/>
  <c r="K70" i="28"/>
  <c r="L70" i="26"/>
  <c r="L70" i="28" s="1"/>
  <c r="L68" i="26"/>
  <c r="L68" i="28" s="1"/>
  <c r="K68" i="28"/>
  <c r="AB36" i="30"/>
  <c r="AA36" i="30" s="1"/>
  <c r="O48" i="30"/>
  <c r="AB27" i="30"/>
  <c r="AA27" i="30" s="1"/>
  <c r="X71" i="30"/>
  <c r="W71" i="30" s="1"/>
  <c r="AB61" i="30"/>
  <c r="AA61" i="30" s="1"/>
  <c r="L57" i="30"/>
  <c r="L100" i="30"/>
  <c r="L102" i="30" s="1"/>
  <c r="X87" i="30"/>
  <c r="W87" i="30" s="1"/>
  <c r="AB74" i="30"/>
  <c r="AA74" i="30" s="1"/>
  <c r="AB84" i="30"/>
  <c r="AA84" i="30" s="1"/>
  <c r="H7" i="30"/>
  <c r="H15" i="30" s="1"/>
  <c r="G15" i="30" s="1"/>
  <c r="T52" i="30"/>
  <c r="T49" i="30"/>
  <c r="T51" i="30"/>
  <c r="T48" i="30"/>
  <c r="S48" i="30" s="1"/>
  <c r="T47" i="30"/>
  <c r="S47" i="30" s="1"/>
  <c r="AB28" i="30"/>
  <c r="AA28" i="30" s="1"/>
  <c r="AA41" i="30"/>
  <c r="AB41" i="30"/>
  <c r="AB26" i="30"/>
  <c r="X32" i="30"/>
  <c r="W32" i="30" s="1"/>
  <c r="AB80" i="30"/>
  <c r="AA80" i="30" s="1"/>
  <c r="AB63" i="30"/>
  <c r="AA63" i="30" s="1"/>
  <c r="AB70" i="30"/>
  <c r="AA70" i="30" s="1"/>
  <c r="AB50" i="30"/>
  <c r="AA50" i="30" s="1"/>
  <c r="AB76" i="30"/>
  <c r="AA76" i="30" s="1"/>
  <c r="AB78" i="30"/>
  <c r="AA78" i="30" s="1"/>
  <c r="X43" i="30"/>
  <c r="W43" i="30" s="1"/>
  <c r="AB35" i="30"/>
  <c r="AA35" i="30" s="1"/>
  <c r="AB82" i="30"/>
  <c r="AA82" i="30" s="1"/>
  <c r="T46" i="30"/>
  <c r="J1" i="27"/>
  <c r="L1" i="28"/>
  <c r="L1" i="26" s="1"/>
  <c r="K1" i="26"/>
  <c r="AB51" i="10"/>
  <c r="AA51" i="10" s="1"/>
  <c r="W51" i="10"/>
  <c r="AB50" i="6"/>
  <c r="AA50" i="6" s="1"/>
  <c r="K52" i="28"/>
  <c r="L52" i="26"/>
  <c r="J12" i="26"/>
  <c r="K8" i="26"/>
  <c r="K71" i="28"/>
  <c r="L71" i="26"/>
  <c r="L71" i="28" s="1"/>
  <c r="L52" i="27"/>
  <c r="L54" i="27" s="1"/>
  <c r="K67" i="26"/>
  <c r="K64" i="28"/>
  <c r="L64" i="26"/>
  <c r="K48" i="26"/>
  <c r="K10" i="26"/>
  <c r="L69" i="28"/>
  <c r="L47" i="26"/>
  <c r="K42" i="26"/>
  <c r="K57" i="30" l="1"/>
  <c r="L90" i="30"/>
  <c r="K90" i="30" s="1"/>
  <c r="K67" i="28"/>
  <c r="L67" i="26"/>
  <c r="L67" i="28"/>
  <c r="AB32" i="30"/>
  <c r="AA26" i="30"/>
  <c r="H103" i="30"/>
  <c r="H92" i="30"/>
  <c r="AB43" i="30"/>
  <c r="AA43" i="30" s="1"/>
  <c r="X51" i="30"/>
  <c r="X48" i="30"/>
  <c r="X52" i="30"/>
  <c r="W52" i="30" s="1"/>
  <c r="X49" i="30"/>
  <c r="X47" i="30"/>
  <c r="W47" i="30" s="1"/>
  <c r="AB87" i="30"/>
  <c r="AA87" i="30" s="1"/>
  <c r="T55" i="30"/>
  <c r="AB71" i="30"/>
  <c r="AA71" i="30" s="1"/>
  <c r="K1" i="27"/>
  <c r="L1" i="27"/>
  <c r="K12" i="26"/>
  <c r="L8" i="26"/>
  <c r="L52" i="28"/>
  <c r="L42" i="26"/>
  <c r="L27" i="26"/>
  <c r="L10" i="26"/>
  <c r="L48" i="26"/>
  <c r="L64" i="28"/>
  <c r="AA32" i="30" l="1"/>
  <c r="W48" i="30"/>
  <c r="W49" i="30"/>
  <c r="W51" i="30"/>
  <c r="G92" i="30"/>
  <c r="L103" i="30"/>
  <c r="L92" i="30"/>
  <c r="AB47" i="30"/>
  <c r="AA47" i="30" s="1"/>
  <c r="AB51" i="30"/>
  <c r="AA51" i="30" s="1"/>
  <c r="AB48" i="30"/>
  <c r="AA48" i="30" s="1"/>
  <c r="AB52" i="30"/>
  <c r="AA52" i="30" s="1"/>
  <c r="AB49" i="30"/>
  <c r="AA49" i="30" s="1"/>
  <c r="T57" i="30"/>
  <c r="T100" i="30"/>
  <c r="T102" i="30" s="1"/>
  <c r="H94" i="30"/>
  <c r="G94" i="30" s="1"/>
  <c r="L12" i="26"/>
  <c r="K92" i="30" l="1"/>
  <c r="L7" i="30"/>
  <c r="T90" i="30"/>
  <c r="L94" i="30" l="1"/>
  <c r="K94" i="30" s="1"/>
  <c r="L15" i="30"/>
  <c r="T103" i="30"/>
  <c r="T92" i="30"/>
  <c r="D35" i="2"/>
  <c r="H96" i="25"/>
  <c r="AB96" i="25"/>
  <c r="X96" i="25"/>
  <c r="T96" i="25"/>
  <c r="P96" i="25"/>
  <c r="L96" i="25"/>
  <c r="O85" i="25" s="1"/>
  <c r="D96" i="25"/>
  <c r="AB95" i="23"/>
  <c r="X95" i="23"/>
  <c r="T95" i="23"/>
  <c r="P95" i="23"/>
  <c r="L95" i="23"/>
  <c r="P9" i="25"/>
  <c r="T9" i="25" s="1"/>
  <c r="AC81" i="25"/>
  <c r="Y81" i="25"/>
  <c r="U81" i="25"/>
  <c r="Q81" i="25"/>
  <c r="M81" i="25"/>
  <c r="I81" i="25"/>
  <c r="D81" i="25"/>
  <c r="D82" i="25" s="1"/>
  <c r="AC80" i="25"/>
  <c r="Y80" i="25"/>
  <c r="U80" i="25"/>
  <c r="Q80" i="25"/>
  <c r="M80" i="25"/>
  <c r="I80" i="25"/>
  <c r="H80" i="25" s="1"/>
  <c r="G80" i="25"/>
  <c r="AC79" i="25"/>
  <c r="Y79" i="25"/>
  <c r="U79" i="25"/>
  <c r="Q79" i="25"/>
  <c r="M79" i="25"/>
  <c r="I79" i="25"/>
  <c r="H79" i="25" s="1"/>
  <c r="G79" i="25"/>
  <c r="AC78" i="25"/>
  <c r="Y78" i="25"/>
  <c r="U78" i="25"/>
  <c r="Q78" i="25"/>
  <c r="M78" i="25"/>
  <c r="I78" i="25"/>
  <c r="H78" i="25" s="1"/>
  <c r="G78" i="25"/>
  <c r="AC77" i="25"/>
  <c r="Y77" i="25"/>
  <c r="U77" i="25"/>
  <c r="Q77" i="25"/>
  <c r="M77" i="25"/>
  <c r="I77" i="25"/>
  <c r="H77" i="25" s="1"/>
  <c r="G77" i="25"/>
  <c r="AC76" i="25"/>
  <c r="Y76" i="25"/>
  <c r="U76" i="25"/>
  <c r="Q76" i="25"/>
  <c r="M76" i="25"/>
  <c r="I76" i="25"/>
  <c r="H76" i="25" s="1"/>
  <c r="G76" i="25"/>
  <c r="AC75" i="25"/>
  <c r="Y75" i="25"/>
  <c r="U75" i="25"/>
  <c r="Q75" i="25"/>
  <c r="M75" i="25"/>
  <c r="I75" i="25"/>
  <c r="H75" i="25" s="1"/>
  <c r="G75" i="25"/>
  <c r="AC74" i="25"/>
  <c r="Y74" i="25"/>
  <c r="U74" i="25"/>
  <c r="Q74" i="25"/>
  <c r="M74" i="25"/>
  <c r="I74" i="25"/>
  <c r="H74" i="25" s="1"/>
  <c r="G74" i="25"/>
  <c r="AC73" i="25"/>
  <c r="Y73" i="25"/>
  <c r="U73" i="25"/>
  <c r="Q73" i="25"/>
  <c r="M73" i="25"/>
  <c r="I73" i="25"/>
  <c r="H73" i="25" s="1"/>
  <c r="G73" i="25"/>
  <c r="AC72" i="25"/>
  <c r="Y72" i="25"/>
  <c r="U72" i="25"/>
  <c r="Q72" i="25"/>
  <c r="M72" i="25"/>
  <c r="I72" i="25"/>
  <c r="H72" i="25" s="1"/>
  <c r="K72" i="25" s="1"/>
  <c r="G72" i="25"/>
  <c r="AC71" i="25"/>
  <c r="Y71" i="25"/>
  <c r="U71" i="25"/>
  <c r="K71" i="25"/>
  <c r="G71" i="25"/>
  <c r="AC70" i="25"/>
  <c r="Y70" i="25"/>
  <c r="U70" i="25"/>
  <c r="G70" i="25"/>
  <c r="AC69" i="25"/>
  <c r="Y69" i="25"/>
  <c r="U69" i="25"/>
  <c r="G69" i="25"/>
  <c r="D66" i="25"/>
  <c r="G66" i="25" s="1"/>
  <c r="AC65" i="25"/>
  <c r="Y65" i="25"/>
  <c r="U65" i="25"/>
  <c r="Q65" i="25"/>
  <c r="M65" i="25"/>
  <c r="I65" i="25"/>
  <c r="H65" i="25" s="1"/>
  <c r="G65" i="25"/>
  <c r="AC64" i="25"/>
  <c r="Y64" i="25"/>
  <c r="U64" i="25"/>
  <c r="Q64" i="25"/>
  <c r="M64" i="25"/>
  <c r="I64" i="25"/>
  <c r="H64" i="25" s="1"/>
  <c r="G64" i="25"/>
  <c r="AC63" i="25"/>
  <c r="Y63" i="25"/>
  <c r="U63" i="25"/>
  <c r="Q63" i="25"/>
  <c r="M63" i="25"/>
  <c r="I63" i="25"/>
  <c r="H63" i="25" s="1"/>
  <c r="G63" i="25"/>
  <c r="AC62" i="25"/>
  <c r="Y62" i="25"/>
  <c r="U62" i="25"/>
  <c r="Q62" i="25"/>
  <c r="M62" i="25"/>
  <c r="I62" i="25"/>
  <c r="H62" i="25" s="1"/>
  <c r="K62" i="25" s="1"/>
  <c r="G62" i="25"/>
  <c r="AC61" i="25"/>
  <c r="Y61" i="25"/>
  <c r="U61" i="25"/>
  <c r="Q61" i="25"/>
  <c r="M61" i="25"/>
  <c r="I61" i="25"/>
  <c r="H61" i="25" s="1"/>
  <c r="K61" i="25" s="1"/>
  <c r="G61" i="25"/>
  <c r="AC60" i="25"/>
  <c r="Y60" i="25"/>
  <c r="U60" i="25"/>
  <c r="Q60" i="25"/>
  <c r="M60" i="25"/>
  <c r="I60" i="25"/>
  <c r="H60" i="25" s="1"/>
  <c r="G60" i="25"/>
  <c r="AC59" i="25"/>
  <c r="Y59" i="25"/>
  <c r="U59" i="25"/>
  <c r="Q59" i="25"/>
  <c r="M59" i="25"/>
  <c r="I59" i="25"/>
  <c r="H59" i="25" s="1"/>
  <c r="G59" i="25"/>
  <c r="D53" i="25"/>
  <c r="H52" i="25"/>
  <c r="K52" i="25" s="1"/>
  <c r="G52" i="25"/>
  <c r="H51" i="25"/>
  <c r="K51" i="25" s="1"/>
  <c r="G51" i="25"/>
  <c r="AC50" i="25"/>
  <c r="Y50" i="25"/>
  <c r="U50" i="25"/>
  <c r="Q50" i="25"/>
  <c r="M50" i="25"/>
  <c r="I50" i="25"/>
  <c r="G50" i="25"/>
  <c r="E50" i="25"/>
  <c r="AC49" i="25"/>
  <c r="Y49" i="25"/>
  <c r="U49" i="25"/>
  <c r="Q49" i="25"/>
  <c r="M49" i="25"/>
  <c r="I49" i="25"/>
  <c r="G49" i="25"/>
  <c r="E49" i="25"/>
  <c r="AC48" i="25"/>
  <c r="Y48" i="25"/>
  <c r="U48" i="25"/>
  <c r="Q48" i="25"/>
  <c r="M48" i="25"/>
  <c r="I48" i="25"/>
  <c r="H48" i="25" s="1"/>
  <c r="G48" i="25"/>
  <c r="AC47" i="25"/>
  <c r="Y47" i="25"/>
  <c r="U47" i="25"/>
  <c r="Q47" i="25"/>
  <c r="M47" i="25"/>
  <c r="I47" i="25"/>
  <c r="G47" i="25"/>
  <c r="E47" i="25"/>
  <c r="AC46" i="25"/>
  <c r="Y46" i="25"/>
  <c r="U46" i="25"/>
  <c r="Q46" i="25"/>
  <c r="M46" i="25"/>
  <c r="I46" i="25"/>
  <c r="G46" i="25"/>
  <c r="E46" i="25"/>
  <c r="AC45" i="25"/>
  <c r="Y45" i="25"/>
  <c r="U45" i="25"/>
  <c r="Q45" i="25"/>
  <c r="M45" i="25"/>
  <c r="I45" i="25"/>
  <c r="G45" i="25"/>
  <c r="E45" i="25"/>
  <c r="U44" i="25"/>
  <c r="Q44" i="25"/>
  <c r="M44" i="25"/>
  <c r="I44" i="25"/>
  <c r="G44" i="25"/>
  <c r="E44" i="25"/>
  <c r="D41" i="25"/>
  <c r="G41" i="25" s="1"/>
  <c r="AC39" i="25"/>
  <c r="Y39" i="25"/>
  <c r="U39" i="25"/>
  <c r="Q39" i="25"/>
  <c r="M39" i="25"/>
  <c r="I39" i="25"/>
  <c r="H39" i="25"/>
  <c r="K39" i="25" s="1"/>
  <c r="G39" i="25"/>
  <c r="AC38" i="25"/>
  <c r="Y38" i="25"/>
  <c r="U38" i="25"/>
  <c r="Q38" i="25"/>
  <c r="M38" i="25"/>
  <c r="I38" i="25"/>
  <c r="H38" i="25"/>
  <c r="L38" i="25" s="1"/>
  <c r="P38" i="25" s="1"/>
  <c r="S38" i="25" s="1"/>
  <c r="G38" i="25"/>
  <c r="AC37" i="25"/>
  <c r="Y37" i="25"/>
  <c r="U37" i="25"/>
  <c r="Q37" i="25"/>
  <c r="M37" i="25"/>
  <c r="I37" i="25"/>
  <c r="H37" i="25"/>
  <c r="K37" i="25" s="1"/>
  <c r="G37" i="25"/>
  <c r="AC36" i="25"/>
  <c r="Y36" i="25"/>
  <c r="U36" i="25"/>
  <c r="Q36" i="25"/>
  <c r="M36" i="25"/>
  <c r="I36" i="25"/>
  <c r="H36" i="25"/>
  <c r="L36" i="25" s="1"/>
  <c r="P36" i="25" s="1"/>
  <c r="S36" i="25" s="1"/>
  <c r="G36" i="25"/>
  <c r="AC35" i="25"/>
  <c r="Y35" i="25"/>
  <c r="U35" i="25"/>
  <c r="Q35" i="25"/>
  <c r="M35" i="25"/>
  <c r="I35" i="25"/>
  <c r="H35" i="25"/>
  <c r="K35" i="25" s="1"/>
  <c r="G35" i="25"/>
  <c r="AC34" i="25"/>
  <c r="Y34" i="25"/>
  <c r="U34" i="25"/>
  <c r="Q34" i="25"/>
  <c r="M34" i="25"/>
  <c r="I34" i="25"/>
  <c r="H34" i="25"/>
  <c r="K34" i="25" s="1"/>
  <c r="G34" i="25"/>
  <c r="AC33" i="25"/>
  <c r="Y33" i="25"/>
  <c r="U33" i="25"/>
  <c r="Q33" i="25"/>
  <c r="M33" i="25"/>
  <c r="I33" i="25"/>
  <c r="H33" i="25"/>
  <c r="K33" i="25" s="1"/>
  <c r="G33" i="25"/>
  <c r="D30" i="25"/>
  <c r="G30" i="25" s="1"/>
  <c r="AC28" i="25"/>
  <c r="Y28" i="25"/>
  <c r="U28" i="25"/>
  <c r="Q28" i="25"/>
  <c r="M28" i="25"/>
  <c r="I28" i="25"/>
  <c r="H28" i="25"/>
  <c r="L28" i="25" s="1"/>
  <c r="G28" i="25"/>
  <c r="AC27" i="25"/>
  <c r="Y27" i="25"/>
  <c r="U27" i="25"/>
  <c r="Q27" i="25"/>
  <c r="M27" i="25"/>
  <c r="I27" i="25"/>
  <c r="H27" i="25"/>
  <c r="K27" i="25" s="1"/>
  <c r="G27" i="25"/>
  <c r="AC26" i="25"/>
  <c r="Y26" i="25"/>
  <c r="U26" i="25"/>
  <c r="Q26" i="25"/>
  <c r="M26" i="25"/>
  <c r="I26" i="25"/>
  <c r="H26" i="25"/>
  <c r="L26" i="25" s="1"/>
  <c r="G26" i="25"/>
  <c r="AC25" i="25"/>
  <c r="Y25" i="25"/>
  <c r="U25" i="25"/>
  <c r="Q25" i="25"/>
  <c r="M25" i="25"/>
  <c r="I25" i="25"/>
  <c r="H25" i="25"/>
  <c r="L25" i="25" s="1"/>
  <c r="P25" i="25" s="1"/>
  <c r="G25" i="25"/>
  <c r="AC24" i="25"/>
  <c r="Y24" i="25"/>
  <c r="U24" i="25"/>
  <c r="Q24" i="25"/>
  <c r="M24" i="25"/>
  <c r="I24" i="25"/>
  <c r="H24" i="25"/>
  <c r="L24" i="25" s="1"/>
  <c r="G24" i="25"/>
  <c r="AC23" i="25"/>
  <c r="Y23" i="25"/>
  <c r="U23" i="25"/>
  <c r="Q23" i="25"/>
  <c r="M23" i="25"/>
  <c r="L23" i="25"/>
  <c r="P23" i="25" s="1"/>
  <c r="I23" i="25"/>
  <c r="H23" i="25"/>
  <c r="K23" i="25" s="1"/>
  <c r="G23" i="25"/>
  <c r="AC22" i="25"/>
  <c r="Y22" i="25"/>
  <c r="U22" i="25"/>
  <c r="Q22" i="25"/>
  <c r="M22" i="25"/>
  <c r="I22" i="25"/>
  <c r="H22" i="25"/>
  <c r="L22" i="25" s="1"/>
  <c r="G22" i="25"/>
  <c r="AC21" i="25"/>
  <c r="Y21" i="25"/>
  <c r="U21" i="25"/>
  <c r="Q21" i="25"/>
  <c r="M21" i="25"/>
  <c r="I21" i="25"/>
  <c r="H21" i="25"/>
  <c r="L21" i="25" s="1"/>
  <c r="G21" i="25"/>
  <c r="AB10" i="25"/>
  <c r="X10" i="25"/>
  <c r="AA10" i="25" s="1"/>
  <c r="T10" i="25"/>
  <c r="W10" i="25" s="1"/>
  <c r="P10" i="25"/>
  <c r="S10" i="25" s="1"/>
  <c r="L10" i="25"/>
  <c r="O10" i="25" s="1"/>
  <c r="K10" i="25"/>
  <c r="G10" i="25"/>
  <c r="P11" i="25"/>
  <c r="H6" i="25"/>
  <c r="L6" i="25" s="1"/>
  <c r="P6" i="25" s="1"/>
  <c r="T6" i="25" s="1"/>
  <c r="X6" i="25" s="1"/>
  <c r="AB6" i="25" s="1"/>
  <c r="AB3" i="25"/>
  <c r="X3" i="25"/>
  <c r="T3" i="25"/>
  <c r="L69" i="24"/>
  <c r="L59" i="24"/>
  <c r="P9" i="24"/>
  <c r="T9" i="24" s="1"/>
  <c r="L9" i="24"/>
  <c r="H9" i="24"/>
  <c r="D82" i="24"/>
  <c r="AC81" i="24"/>
  <c r="Y81" i="24"/>
  <c r="U81" i="24"/>
  <c r="Q81" i="24"/>
  <c r="M81" i="24"/>
  <c r="I81" i="24"/>
  <c r="H81" i="24" s="1"/>
  <c r="D81" i="24"/>
  <c r="G81" i="24" s="1"/>
  <c r="AC80" i="24"/>
  <c r="Y80" i="24"/>
  <c r="U80" i="24"/>
  <c r="Q80" i="24"/>
  <c r="M80" i="24"/>
  <c r="I80" i="24"/>
  <c r="H80" i="24" s="1"/>
  <c r="G80" i="24"/>
  <c r="AC79" i="24"/>
  <c r="Y79" i="24"/>
  <c r="U79" i="24"/>
  <c r="Q79" i="24"/>
  <c r="M79" i="24"/>
  <c r="I79" i="24"/>
  <c r="H79" i="24" s="1"/>
  <c r="G79" i="24"/>
  <c r="AC78" i="24"/>
  <c r="Y78" i="24"/>
  <c r="U78" i="24"/>
  <c r="Q78" i="24"/>
  <c r="M78" i="24"/>
  <c r="I78" i="24"/>
  <c r="H78" i="24" s="1"/>
  <c r="G78" i="24"/>
  <c r="AC77" i="24"/>
  <c r="Y77" i="24"/>
  <c r="U77" i="24"/>
  <c r="Q77" i="24"/>
  <c r="M77" i="24"/>
  <c r="I77" i="24"/>
  <c r="H77" i="24" s="1"/>
  <c r="G77" i="24"/>
  <c r="AC76" i="24"/>
  <c r="Y76" i="24"/>
  <c r="U76" i="24"/>
  <c r="Q76" i="24"/>
  <c r="M76" i="24"/>
  <c r="I76" i="24"/>
  <c r="H76" i="24" s="1"/>
  <c r="G76" i="24"/>
  <c r="AC75" i="24"/>
  <c r="Y75" i="24"/>
  <c r="U75" i="24"/>
  <c r="Q75" i="24"/>
  <c r="M75" i="24"/>
  <c r="I75" i="24"/>
  <c r="H75" i="24" s="1"/>
  <c r="G75" i="24"/>
  <c r="AC74" i="24"/>
  <c r="Y74" i="24"/>
  <c r="U74" i="24"/>
  <c r="Q74" i="24"/>
  <c r="M74" i="24"/>
  <c r="I74" i="24"/>
  <c r="H74" i="24" s="1"/>
  <c r="G74" i="24"/>
  <c r="AC73" i="24"/>
  <c r="Y73" i="24"/>
  <c r="U73" i="24"/>
  <c r="Q73" i="24"/>
  <c r="M73" i="24"/>
  <c r="I73" i="24"/>
  <c r="H73" i="24" s="1"/>
  <c r="G73" i="24"/>
  <c r="AC72" i="24"/>
  <c r="Y72" i="24"/>
  <c r="U72" i="24"/>
  <c r="Q72" i="24"/>
  <c r="M72" i="24"/>
  <c r="I72" i="24"/>
  <c r="H72" i="24" s="1"/>
  <c r="G72" i="24"/>
  <c r="AC71" i="24"/>
  <c r="Y71" i="24"/>
  <c r="U71" i="24"/>
  <c r="Q71" i="24"/>
  <c r="M71" i="24"/>
  <c r="I71" i="24"/>
  <c r="H71" i="24" s="1"/>
  <c r="G71" i="24"/>
  <c r="AC70" i="24"/>
  <c r="Y70" i="24"/>
  <c r="U70" i="24"/>
  <c r="Q70" i="24"/>
  <c r="M70" i="24"/>
  <c r="I70" i="24"/>
  <c r="H70" i="24" s="1"/>
  <c r="G70" i="24"/>
  <c r="AC69" i="24"/>
  <c r="Y69" i="24"/>
  <c r="G69" i="24"/>
  <c r="D66" i="24"/>
  <c r="AC65" i="24"/>
  <c r="Y65" i="24"/>
  <c r="U65" i="24"/>
  <c r="Q65" i="24"/>
  <c r="M65" i="24"/>
  <c r="I65" i="24"/>
  <c r="H65" i="24" s="1"/>
  <c r="G65" i="24"/>
  <c r="AC64" i="24"/>
  <c r="Y64" i="24"/>
  <c r="U64" i="24"/>
  <c r="Q64" i="24"/>
  <c r="M64" i="24"/>
  <c r="I64" i="24"/>
  <c r="H64" i="24" s="1"/>
  <c r="G64" i="24"/>
  <c r="AC63" i="24"/>
  <c r="Y63" i="24"/>
  <c r="U63" i="24"/>
  <c r="Q63" i="24"/>
  <c r="M63" i="24"/>
  <c r="I63" i="24"/>
  <c r="H63" i="24" s="1"/>
  <c r="G63" i="24"/>
  <c r="AC62" i="24"/>
  <c r="Y62" i="24"/>
  <c r="U62" i="24"/>
  <c r="Q62" i="24"/>
  <c r="M62" i="24"/>
  <c r="I62" i="24"/>
  <c r="H62" i="24" s="1"/>
  <c r="G62" i="24"/>
  <c r="AC61" i="24"/>
  <c r="Y61" i="24"/>
  <c r="U61" i="24"/>
  <c r="Q61" i="24"/>
  <c r="M61" i="24"/>
  <c r="I61" i="24"/>
  <c r="H61" i="24" s="1"/>
  <c r="G61" i="24"/>
  <c r="AC60" i="24"/>
  <c r="Y60" i="24"/>
  <c r="U60" i="24"/>
  <c r="Q60" i="24"/>
  <c r="M60" i="24"/>
  <c r="I60" i="24"/>
  <c r="H60" i="24" s="1"/>
  <c r="G60" i="24"/>
  <c r="AC59" i="24"/>
  <c r="Y59" i="24"/>
  <c r="G59" i="24"/>
  <c r="D53" i="24"/>
  <c r="G53" i="24" s="1"/>
  <c r="H52" i="24"/>
  <c r="L52" i="24" s="1"/>
  <c r="G52" i="24"/>
  <c r="H51" i="24"/>
  <c r="L51" i="24" s="1"/>
  <c r="G51" i="24"/>
  <c r="AC50" i="24"/>
  <c r="Y50" i="24"/>
  <c r="U50" i="24"/>
  <c r="Q50" i="24"/>
  <c r="M50" i="24"/>
  <c r="I50" i="24"/>
  <c r="G50" i="24"/>
  <c r="E50" i="24"/>
  <c r="AC49" i="24"/>
  <c r="Y49" i="24"/>
  <c r="U49" i="24"/>
  <c r="Q49" i="24"/>
  <c r="M49" i="24"/>
  <c r="I49" i="24"/>
  <c r="G49" i="24"/>
  <c r="E49" i="24"/>
  <c r="AC48" i="24"/>
  <c r="Y48" i="24"/>
  <c r="U48" i="24"/>
  <c r="Q48" i="24"/>
  <c r="M48" i="24"/>
  <c r="I48" i="24"/>
  <c r="H48" i="24" s="1"/>
  <c r="K48" i="24" s="1"/>
  <c r="G48" i="24"/>
  <c r="AC47" i="24"/>
  <c r="Y47" i="24"/>
  <c r="U47" i="24"/>
  <c r="Q47" i="24"/>
  <c r="M47" i="24"/>
  <c r="I47" i="24"/>
  <c r="G47" i="24"/>
  <c r="E47" i="24"/>
  <c r="AC46" i="24"/>
  <c r="Y46" i="24"/>
  <c r="U46" i="24"/>
  <c r="Q46" i="24"/>
  <c r="M46" i="24"/>
  <c r="I46" i="24"/>
  <c r="G46" i="24"/>
  <c r="E46" i="24"/>
  <c r="AC45" i="24"/>
  <c r="Y45" i="24"/>
  <c r="U45" i="24"/>
  <c r="Q45" i="24"/>
  <c r="M45" i="24"/>
  <c r="I45" i="24"/>
  <c r="G45" i="24"/>
  <c r="E45" i="24"/>
  <c r="U44" i="24"/>
  <c r="Q44" i="24"/>
  <c r="M44" i="24"/>
  <c r="I44" i="24"/>
  <c r="G44" i="24"/>
  <c r="E44" i="24"/>
  <c r="D41" i="24"/>
  <c r="G41" i="24" s="1"/>
  <c r="AC39" i="24"/>
  <c r="Y39" i="24"/>
  <c r="U39" i="24"/>
  <c r="Q39" i="24"/>
  <c r="M39" i="24"/>
  <c r="I39" i="24"/>
  <c r="H39" i="24"/>
  <c r="L39" i="24" s="1"/>
  <c r="O39" i="24" s="1"/>
  <c r="G39" i="24"/>
  <c r="AC38" i="24"/>
  <c r="Y38" i="24"/>
  <c r="U38" i="24"/>
  <c r="Q38" i="24"/>
  <c r="M38" i="24"/>
  <c r="I38" i="24"/>
  <c r="H38" i="24"/>
  <c r="L38" i="24" s="1"/>
  <c r="O38" i="24" s="1"/>
  <c r="G38" i="24"/>
  <c r="AC37" i="24"/>
  <c r="Y37" i="24"/>
  <c r="U37" i="24"/>
  <c r="Q37" i="24"/>
  <c r="M37" i="24"/>
  <c r="I37" i="24"/>
  <c r="H37" i="24"/>
  <c r="L37" i="24" s="1"/>
  <c r="O37" i="24" s="1"/>
  <c r="G37" i="24"/>
  <c r="AC36" i="24"/>
  <c r="Y36" i="24"/>
  <c r="U36" i="24"/>
  <c r="Q36" i="24"/>
  <c r="M36" i="24"/>
  <c r="I36" i="24"/>
  <c r="H36" i="24"/>
  <c r="L36" i="24" s="1"/>
  <c r="O36" i="24" s="1"/>
  <c r="G36" i="24"/>
  <c r="AC35" i="24"/>
  <c r="Y35" i="24"/>
  <c r="U35" i="24"/>
  <c r="Q35" i="24"/>
  <c r="M35" i="24"/>
  <c r="I35" i="24"/>
  <c r="H35" i="24"/>
  <c r="L35" i="24" s="1"/>
  <c r="O35" i="24" s="1"/>
  <c r="G35" i="24"/>
  <c r="AC34" i="24"/>
  <c r="Y34" i="24"/>
  <c r="U34" i="24"/>
  <c r="Q34" i="24"/>
  <c r="M34" i="24"/>
  <c r="K34" i="24"/>
  <c r="I34" i="24"/>
  <c r="H34" i="24"/>
  <c r="L34" i="24" s="1"/>
  <c r="O34" i="24" s="1"/>
  <c r="G34" i="24"/>
  <c r="AC33" i="24"/>
  <c r="Y33" i="24"/>
  <c r="U33" i="24"/>
  <c r="Q33" i="24"/>
  <c r="M33" i="24"/>
  <c r="I33" i="24"/>
  <c r="H33" i="24"/>
  <c r="K33" i="24" s="1"/>
  <c r="G33" i="24"/>
  <c r="D30" i="24"/>
  <c r="G30" i="24" s="1"/>
  <c r="AC28" i="24"/>
  <c r="Y28" i="24"/>
  <c r="U28" i="24"/>
  <c r="Q28" i="24"/>
  <c r="M28" i="24"/>
  <c r="I28" i="24"/>
  <c r="H28" i="24"/>
  <c r="K28" i="24" s="1"/>
  <c r="G28" i="24"/>
  <c r="AC27" i="24"/>
  <c r="Y27" i="24"/>
  <c r="U27" i="24"/>
  <c r="Q27" i="24"/>
  <c r="M27" i="24"/>
  <c r="I27" i="24"/>
  <c r="H27" i="24"/>
  <c r="L27" i="24" s="1"/>
  <c r="P27" i="24" s="1"/>
  <c r="S27" i="24" s="1"/>
  <c r="G27" i="24"/>
  <c r="AC26" i="24"/>
  <c r="Y26" i="24"/>
  <c r="U26" i="24"/>
  <c r="Q26" i="24"/>
  <c r="M26" i="24"/>
  <c r="I26" i="24"/>
  <c r="H26" i="24"/>
  <c r="K26" i="24" s="1"/>
  <c r="G26" i="24"/>
  <c r="AC25" i="24"/>
  <c r="Y25" i="24"/>
  <c r="U25" i="24"/>
  <c r="Q25" i="24"/>
  <c r="M25" i="24"/>
  <c r="I25" i="24"/>
  <c r="H25" i="24"/>
  <c r="L25" i="24" s="1"/>
  <c r="G25" i="24"/>
  <c r="AC24" i="24"/>
  <c r="Y24" i="24"/>
  <c r="U24" i="24"/>
  <c r="Q24" i="24"/>
  <c r="M24" i="24"/>
  <c r="I24" i="24"/>
  <c r="H24" i="24"/>
  <c r="K24" i="24" s="1"/>
  <c r="G24" i="24"/>
  <c r="AC23" i="24"/>
  <c r="Y23" i="24"/>
  <c r="U23" i="24"/>
  <c r="Q23" i="24"/>
  <c r="M23" i="24"/>
  <c r="I23" i="24"/>
  <c r="H23" i="24"/>
  <c r="L23" i="24" s="1"/>
  <c r="O23" i="24" s="1"/>
  <c r="G23" i="24"/>
  <c r="AC22" i="24"/>
  <c r="Y22" i="24"/>
  <c r="U22" i="24"/>
  <c r="Q22" i="24"/>
  <c r="M22" i="24"/>
  <c r="L22" i="24"/>
  <c r="P22" i="24" s="1"/>
  <c r="T22" i="24" s="1"/>
  <c r="I22" i="24"/>
  <c r="H22" i="24"/>
  <c r="K22" i="24" s="1"/>
  <c r="G22" i="24"/>
  <c r="AC21" i="24"/>
  <c r="Y21" i="24"/>
  <c r="U21" i="24"/>
  <c r="Q21" i="24"/>
  <c r="M21" i="24"/>
  <c r="I21" i="24"/>
  <c r="H21" i="24"/>
  <c r="G21" i="24"/>
  <c r="AB10" i="24"/>
  <c r="X10" i="24"/>
  <c r="AA10" i="24" s="1"/>
  <c r="T10" i="24"/>
  <c r="W10" i="24" s="1"/>
  <c r="P10" i="24"/>
  <c r="S10" i="24" s="1"/>
  <c r="L10" i="24"/>
  <c r="O10" i="24" s="1"/>
  <c r="K10" i="24"/>
  <c r="G10" i="24"/>
  <c r="L6" i="24"/>
  <c r="P6" i="24" s="1"/>
  <c r="T6" i="24" s="1"/>
  <c r="X6" i="24" s="1"/>
  <c r="AB6" i="24" s="1"/>
  <c r="H6" i="24"/>
  <c r="AB3" i="24"/>
  <c r="AB9" i="24" s="1"/>
  <c r="AB11" i="24" s="1"/>
  <c r="X3" i="24"/>
  <c r="X9" i="24" s="1"/>
  <c r="T3" i="24"/>
  <c r="D95" i="23"/>
  <c r="H95" i="23"/>
  <c r="G84" i="23"/>
  <c r="G85" i="23"/>
  <c r="G86" i="23"/>
  <c r="G83" i="23"/>
  <c r="G67" i="23"/>
  <c r="I68" i="23"/>
  <c r="H68" i="23" s="1"/>
  <c r="G64" i="23"/>
  <c r="AC88" i="23"/>
  <c r="Y88" i="23"/>
  <c r="U88" i="23"/>
  <c r="D88" i="23"/>
  <c r="G88" i="23" s="1"/>
  <c r="AC83" i="23"/>
  <c r="Y83" i="23"/>
  <c r="U83" i="23"/>
  <c r="AC82" i="23"/>
  <c r="Y82" i="23"/>
  <c r="U82" i="23"/>
  <c r="G82" i="23"/>
  <c r="AC81" i="23"/>
  <c r="Y81" i="23"/>
  <c r="U81" i="23"/>
  <c r="AC80" i="23"/>
  <c r="Y80" i="23"/>
  <c r="U80" i="23"/>
  <c r="G80" i="23"/>
  <c r="AC79" i="23"/>
  <c r="Y79" i="23"/>
  <c r="U79" i="23"/>
  <c r="AC78" i="23"/>
  <c r="Y78" i="23"/>
  <c r="U78" i="23"/>
  <c r="G78" i="23"/>
  <c r="AC77" i="23"/>
  <c r="Y77" i="23"/>
  <c r="U77" i="23"/>
  <c r="G77" i="23"/>
  <c r="AC76" i="23"/>
  <c r="Y76" i="23"/>
  <c r="U76" i="23"/>
  <c r="G76" i="23"/>
  <c r="AC75" i="23"/>
  <c r="Y75" i="23"/>
  <c r="U75" i="23"/>
  <c r="AC74" i="23"/>
  <c r="Y74" i="23"/>
  <c r="U74" i="23"/>
  <c r="G74" i="23"/>
  <c r="AC73" i="23"/>
  <c r="Y73" i="23"/>
  <c r="U73" i="23"/>
  <c r="AC72" i="23"/>
  <c r="Y72" i="23"/>
  <c r="U72" i="23"/>
  <c r="G72" i="23"/>
  <c r="D69" i="23"/>
  <c r="AC68" i="23"/>
  <c r="Y68" i="23"/>
  <c r="U68" i="23"/>
  <c r="Q68" i="23"/>
  <c r="M68" i="23"/>
  <c r="G68" i="23"/>
  <c r="AC64" i="23"/>
  <c r="Y64" i="23"/>
  <c r="U64" i="23"/>
  <c r="AC63" i="23"/>
  <c r="Y63" i="23"/>
  <c r="U63" i="23"/>
  <c r="G63" i="23"/>
  <c r="AC62" i="23"/>
  <c r="Y62" i="23"/>
  <c r="U62" i="23"/>
  <c r="G62" i="23"/>
  <c r="AC61" i="23"/>
  <c r="Y61" i="23"/>
  <c r="U61" i="23"/>
  <c r="G61" i="23"/>
  <c r="AC60" i="23"/>
  <c r="Y60" i="23"/>
  <c r="U60" i="23"/>
  <c r="G60" i="23"/>
  <c r="AC59" i="23"/>
  <c r="Y59" i="23"/>
  <c r="U59" i="23"/>
  <c r="D53" i="23"/>
  <c r="L51" i="23"/>
  <c r="G51" i="23"/>
  <c r="AC50" i="23"/>
  <c r="Y50" i="23"/>
  <c r="U50" i="23"/>
  <c r="Q50" i="23"/>
  <c r="M50" i="23"/>
  <c r="I50" i="23"/>
  <c r="E50" i="23"/>
  <c r="AC49" i="23"/>
  <c r="Y49" i="23"/>
  <c r="U49" i="23"/>
  <c r="Q49" i="23"/>
  <c r="M49" i="23"/>
  <c r="I49" i="23"/>
  <c r="E49" i="23"/>
  <c r="AC48" i="23"/>
  <c r="Y48" i="23"/>
  <c r="U48" i="23"/>
  <c r="Q48" i="23"/>
  <c r="M48" i="23"/>
  <c r="I48" i="23"/>
  <c r="G48" i="23" s="1"/>
  <c r="AC47" i="23"/>
  <c r="Y47" i="23"/>
  <c r="U47" i="23"/>
  <c r="Q47" i="23"/>
  <c r="M47" i="23"/>
  <c r="I47" i="23"/>
  <c r="E47" i="23"/>
  <c r="AC46" i="23"/>
  <c r="Y46" i="23"/>
  <c r="U46" i="23"/>
  <c r="Q46" i="23"/>
  <c r="M46" i="23"/>
  <c r="I46" i="23"/>
  <c r="E46" i="23"/>
  <c r="AC45" i="23"/>
  <c r="Y45" i="23"/>
  <c r="U45" i="23"/>
  <c r="Q45" i="23"/>
  <c r="M45" i="23"/>
  <c r="I45" i="23"/>
  <c r="E45" i="23"/>
  <c r="U44" i="23"/>
  <c r="Q44" i="23"/>
  <c r="M44" i="23"/>
  <c r="I44" i="23"/>
  <c r="G44" i="23"/>
  <c r="E44" i="23"/>
  <c r="AC39" i="23"/>
  <c r="Y39" i="23"/>
  <c r="U39" i="23"/>
  <c r="Q39" i="23"/>
  <c r="M39" i="23"/>
  <c r="I39" i="23"/>
  <c r="H39" i="23"/>
  <c r="L39" i="23" s="1"/>
  <c r="G39" i="23"/>
  <c r="AC38" i="23"/>
  <c r="Y38" i="23"/>
  <c r="U38" i="23"/>
  <c r="Q38" i="23"/>
  <c r="M38" i="23"/>
  <c r="I38" i="23"/>
  <c r="H38" i="23"/>
  <c r="L38" i="23" s="1"/>
  <c r="G38" i="23"/>
  <c r="AC37" i="23"/>
  <c r="Y37" i="23"/>
  <c r="U37" i="23"/>
  <c r="Q37" i="23"/>
  <c r="M37" i="23"/>
  <c r="L37" i="23"/>
  <c r="P37" i="23" s="1"/>
  <c r="T37" i="23" s="1"/>
  <c r="AC36" i="23"/>
  <c r="Y36" i="23"/>
  <c r="U36" i="23"/>
  <c r="Q36" i="23"/>
  <c r="M36" i="23"/>
  <c r="L36" i="23"/>
  <c r="AC35" i="23"/>
  <c r="Y35" i="23"/>
  <c r="U35" i="23"/>
  <c r="Q35" i="23"/>
  <c r="M35" i="23"/>
  <c r="G35" i="23"/>
  <c r="AC34" i="23"/>
  <c r="Y34" i="23"/>
  <c r="U34" i="23"/>
  <c r="Q34" i="23"/>
  <c r="M34" i="23"/>
  <c r="G34" i="23"/>
  <c r="AC33" i="23"/>
  <c r="Y33" i="23"/>
  <c r="U33" i="23"/>
  <c r="Q33" i="23"/>
  <c r="M33" i="23"/>
  <c r="L33" i="23"/>
  <c r="D30" i="23"/>
  <c r="G30" i="23" s="1"/>
  <c r="AC28" i="23"/>
  <c r="Y28" i="23"/>
  <c r="U28" i="23"/>
  <c r="Q28" i="23"/>
  <c r="M28" i="23"/>
  <c r="I28" i="23"/>
  <c r="H28" i="23"/>
  <c r="L28" i="23" s="1"/>
  <c r="O28" i="23" s="1"/>
  <c r="G28" i="23"/>
  <c r="AC27" i="23"/>
  <c r="Y27" i="23"/>
  <c r="U27" i="23"/>
  <c r="Q27" i="23"/>
  <c r="M27" i="23"/>
  <c r="I27" i="23"/>
  <c r="H27" i="23"/>
  <c r="L27" i="23" s="1"/>
  <c r="G27" i="23"/>
  <c r="AC26" i="23"/>
  <c r="Y26" i="23"/>
  <c r="U26" i="23"/>
  <c r="Q26" i="23"/>
  <c r="M26" i="23"/>
  <c r="I26" i="23"/>
  <c r="H26" i="23"/>
  <c r="L26" i="23" s="1"/>
  <c r="P26" i="23" s="1"/>
  <c r="G26" i="23"/>
  <c r="AC25" i="23"/>
  <c r="Y25" i="23"/>
  <c r="U25" i="23"/>
  <c r="Q25" i="23"/>
  <c r="M25" i="23"/>
  <c r="I25" i="23"/>
  <c r="H25" i="23"/>
  <c r="L25" i="23" s="1"/>
  <c r="G25" i="23"/>
  <c r="AC24" i="23"/>
  <c r="Y24" i="23"/>
  <c r="U24" i="23"/>
  <c r="Q24" i="23"/>
  <c r="M24" i="23"/>
  <c r="I24" i="23"/>
  <c r="H24" i="23"/>
  <c r="L24" i="23" s="1"/>
  <c r="O24" i="23" s="1"/>
  <c r="G24" i="23"/>
  <c r="AC23" i="23"/>
  <c r="Y23" i="23"/>
  <c r="U23" i="23"/>
  <c r="Q23" i="23"/>
  <c r="M23" i="23"/>
  <c r="I23" i="23"/>
  <c r="H23" i="23"/>
  <c r="K23" i="23" s="1"/>
  <c r="G23" i="23"/>
  <c r="AC22" i="23"/>
  <c r="Y22" i="23"/>
  <c r="U22" i="23"/>
  <c r="Q22" i="23"/>
  <c r="M22" i="23"/>
  <c r="I22" i="23"/>
  <c r="H22" i="23"/>
  <c r="L22" i="23" s="1"/>
  <c r="P22" i="23" s="1"/>
  <c r="G22" i="23"/>
  <c r="AC21" i="23"/>
  <c r="Y21" i="23"/>
  <c r="U21" i="23"/>
  <c r="Q21" i="23"/>
  <c r="M21" i="23"/>
  <c r="I21" i="23"/>
  <c r="H21" i="23"/>
  <c r="L21" i="23" s="1"/>
  <c r="O21" i="23" s="1"/>
  <c r="G21" i="23"/>
  <c r="G10" i="23"/>
  <c r="AB9" i="23"/>
  <c r="D11" i="23"/>
  <c r="H6" i="23"/>
  <c r="L6" i="23" s="1"/>
  <c r="P6" i="23" s="1"/>
  <c r="T6" i="23" s="1"/>
  <c r="X6" i="23" s="1"/>
  <c r="AB6" i="23" s="1"/>
  <c r="AB3" i="23"/>
  <c r="X3" i="23"/>
  <c r="X9" i="23" s="1"/>
  <c r="T3" i="23"/>
  <c r="T9" i="23" s="1"/>
  <c r="W9" i="23" s="1"/>
  <c r="T60" i="20"/>
  <c r="X60" i="20" s="1"/>
  <c r="AB60" i="20" s="1"/>
  <c r="E13" i="22"/>
  <c r="D15" i="22"/>
  <c r="E12" i="22" s="1"/>
  <c r="D5" i="22"/>
  <c r="D35" i="22"/>
  <c r="D9" i="22"/>
  <c r="E6" i="22"/>
  <c r="F6" i="22" s="1"/>
  <c r="G6" i="22" s="1"/>
  <c r="H6" i="22" s="1"/>
  <c r="I6" i="22" s="1"/>
  <c r="J6" i="22" s="1"/>
  <c r="E3" i="22"/>
  <c r="F3" i="22" s="1"/>
  <c r="G3" i="22" s="1"/>
  <c r="H3" i="22" s="1"/>
  <c r="I3" i="22" s="1"/>
  <c r="J3" i="22" s="1"/>
  <c r="K67" i="23" l="1"/>
  <c r="L67" i="23"/>
  <c r="P67" i="23" s="1"/>
  <c r="D17" i="22"/>
  <c r="I20" i="27"/>
  <c r="I20" i="26" s="1"/>
  <c r="I20" i="28" s="1"/>
  <c r="P26" i="31"/>
  <c r="G46" i="27"/>
  <c r="H46" i="27"/>
  <c r="F46" i="27"/>
  <c r="L33" i="25"/>
  <c r="P33" i="25" s="1"/>
  <c r="S33" i="25" s="1"/>
  <c r="K23" i="24"/>
  <c r="H30" i="24"/>
  <c r="K27" i="24"/>
  <c r="K35" i="24"/>
  <c r="K51" i="24"/>
  <c r="L35" i="23"/>
  <c r="P35" i="23" s="1"/>
  <c r="T35" i="23" s="1"/>
  <c r="K22" i="23"/>
  <c r="E5" i="22"/>
  <c r="L48" i="24"/>
  <c r="P48" i="24" s="1"/>
  <c r="P7" i="30"/>
  <c r="P15" i="30" s="1"/>
  <c r="S15" i="30" s="1"/>
  <c r="G32" i="22"/>
  <c r="G14" i="22" s="1"/>
  <c r="S9" i="24"/>
  <c r="I46" i="27"/>
  <c r="K15" i="30"/>
  <c r="P51" i="23"/>
  <c r="K51" i="23"/>
  <c r="D32" i="22"/>
  <c r="D36" i="22" s="1"/>
  <c r="H32" i="22"/>
  <c r="E32" i="22"/>
  <c r="I32" i="22"/>
  <c r="I8" i="22" s="1"/>
  <c r="F32" i="22"/>
  <c r="J32" i="22"/>
  <c r="K65" i="23"/>
  <c r="K62" i="24"/>
  <c r="L62" i="24"/>
  <c r="P62" i="24" s="1"/>
  <c r="K64" i="24"/>
  <c r="L64" i="24"/>
  <c r="P64" i="24" s="1"/>
  <c r="L27" i="25"/>
  <c r="P27" i="25" s="1"/>
  <c r="T27" i="25" s="1"/>
  <c r="L79" i="25"/>
  <c r="O79" i="25" s="1"/>
  <c r="L35" i="25"/>
  <c r="P35" i="25" s="1"/>
  <c r="S35" i="25" s="1"/>
  <c r="X9" i="25"/>
  <c r="AB9" i="25" s="1"/>
  <c r="S9" i="25"/>
  <c r="L37" i="25"/>
  <c r="P37" i="25" s="1"/>
  <c r="S37" i="25" s="1"/>
  <c r="L52" i="25"/>
  <c r="P52" i="25" s="1"/>
  <c r="AB11" i="25"/>
  <c r="L39" i="25"/>
  <c r="P39" i="25" s="1"/>
  <c r="S39" i="25" s="1"/>
  <c r="D109" i="25"/>
  <c r="L77" i="25"/>
  <c r="O77" i="25" s="1"/>
  <c r="L48" i="25"/>
  <c r="O48" i="25" s="1"/>
  <c r="L60" i="25"/>
  <c r="O60" i="25" s="1"/>
  <c r="H81" i="25"/>
  <c r="H82" i="25" s="1"/>
  <c r="G81" i="25"/>
  <c r="L62" i="25"/>
  <c r="O62" i="25" s="1"/>
  <c r="L51" i="25"/>
  <c r="O51" i="25" s="1"/>
  <c r="L34" i="25"/>
  <c r="O35" i="25"/>
  <c r="K36" i="25"/>
  <c r="K38" i="25"/>
  <c r="H41" i="25"/>
  <c r="H45" i="25" s="1"/>
  <c r="K45" i="25" s="1"/>
  <c r="K21" i="25"/>
  <c r="K25" i="25"/>
  <c r="K48" i="25"/>
  <c r="L61" i="25"/>
  <c r="P61" i="25" s="1"/>
  <c r="L75" i="25"/>
  <c r="O75" i="25" s="1"/>
  <c r="L73" i="25"/>
  <c r="O73" i="25" s="1"/>
  <c r="K60" i="25"/>
  <c r="L72" i="25"/>
  <c r="P72" i="25" s="1"/>
  <c r="O9" i="25"/>
  <c r="L11" i="25"/>
  <c r="T25" i="25"/>
  <c r="S25" i="25"/>
  <c r="P13" i="25"/>
  <c r="P24" i="25"/>
  <c r="O24" i="25"/>
  <c r="O28" i="25"/>
  <c r="P28" i="25"/>
  <c r="G9" i="25"/>
  <c r="D11" i="25"/>
  <c r="W9" i="25"/>
  <c r="T11" i="25"/>
  <c r="S11" i="25" s="1"/>
  <c r="T23" i="25"/>
  <c r="S23" i="25"/>
  <c r="S27" i="25"/>
  <c r="H11" i="25"/>
  <c r="K9" i="25"/>
  <c r="X11" i="25"/>
  <c r="AA9" i="25"/>
  <c r="P22" i="25"/>
  <c r="O22" i="25"/>
  <c r="P26" i="25"/>
  <c r="O26" i="25"/>
  <c r="L30" i="25"/>
  <c r="H30" i="25"/>
  <c r="H50" i="25" s="1"/>
  <c r="K50" i="25" s="1"/>
  <c r="T36" i="25"/>
  <c r="T39" i="25"/>
  <c r="D55" i="25"/>
  <c r="G55" i="25" s="1"/>
  <c r="G53" i="25"/>
  <c r="K69" i="25"/>
  <c r="K70" i="25"/>
  <c r="K22" i="25"/>
  <c r="K24" i="25"/>
  <c r="K26" i="25"/>
  <c r="K28" i="25"/>
  <c r="O33" i="25"/>
  <c r="O38" i="25"/>
  <c r="P51" i="25"/>
  <c r="L63" i="25"/>
  <c r="K63" i="25"/>
  <c r="O21" i="25"/>
  <c r="O23" i="25"/>
  <c r="O25" i="25"/>
  <c r="O27" i="25"/>
  <c r="O36" i="25"/>
  <c r="H66" i="25"/>
  <c r="K66" i="25" s="1"/>
  <c r="K59" i="25"/>
  <c r="L59" i="25"/>
  <c r="L64" i="25"/>
  <c r="K64" i="25"/>
  <c r="L65" i="25"/>
  <c r="K65" i="25"/>
  <c r="L74" i="25"/>
  <c r="K74" i="25"/>
  <c r="L76" i="25"/>
  <c r="K76" i="25"/>
  <c r="L78" i="25"/>
  <c r="K78" i="25"/>
  <c r="L80" i="25"/>
  <c r="K80" i="25"/>
  <c r="P21" i="25"/>
  <c r="T33" i="25"/>
  <c r="T38" i="25"/>
  <c r="P60" i="25"/>
  <c r="K73" i="25"/>
  <c r="K75" i="25"/>
  <c r="K77" i="25"/>
  <c r="K79" i="25"/>
  <c r="P69" i="24"/>
  <c r="O69" i="24" s="1"/>
  <c r="K69" i="24"/>
  <c r="P59" i="24"/>
  <c r="O59" i="24" s="1"/>
  <c r="K59" i="24"/>
  <c r="P52" i="24"/>
  <c r="O52" i="24"/>
  <c r="P51" i="24"/>
  <c r="T51" i="24" s="1"/>
  <c r="O51" i="24"/>
  <c r="K52" i="24"/>
  <c r="K38" i="24"/>
  <c r="K39" i="24"/>
  <c r="P25" i="24"/>
  <c r="O25" i="24"/>
  <c r="K21" i="24"/>
  <c r="K25" i="24"/>
  <c r="O27" i="24"/>
  <c r="L28" i="24"/>
  <c r="L21" i="24"/>
  <c r="K9" i="24"/>
  <c r="H11" i="24"/>
  <c r="AA9" i="24"/>
  <c r="X11" i="24"/>
  <c r="W22" i="24"/>
  <c r="X22" i="24"/>
  <c r="L11" i="24"/>
  <c r="O9" i="24"/>
  <c r="K30" i="24"/>
  <c r="H44" i="24"/>
  <c r="G9" i="24"/>
  <c r="D11" i="24"/>
  <c r="W9" i="24"/>
  <c r="T11" i="24"/>
  <c r="P11" i="24"/>
  <c r="P37" i="24"/>
  <c r="P23" i="24"/>
  <c r="L24" i="24"/>
  <c r="P35" i="24"/>
  <c r="K37" i="24"/>
  <c r="P39" i="24"/>
  <c r="H66" i="24"/>
  <c r="K60" i="24"/>
  <c r="L60" i="24"/>
  <c r="H82" i="24"/>
  <c r="G82" i="24" s="1"/>
  <c r="L71" i="24"/>
  <c r="K71" i="24"/>
  <c r="L73" i="24"/>
  <c r="K73" i="24"/>
  <c r="L75" i="24"/>
  <c r="K75" i="24"/>
  <c r="L77" i="24"/>
  <c r="K77" i="24"/>
  <c r="L79" i="24"/>
  <c r="K79" i="24"/>
  <c r="L81" i="24"/>
  <c r="K81" i="24"/>
  <c r="P36" i="24"/>
  <c r="D55" i="24"/>
  <c r="G55" i="24" s="1"/>
  <c r="S22" i="24"/>
  <c r="H41" i="24"/>
  <c r="L33" i="24"/>
  <c r="O22" i="24"/>
  <c r="L26" i="24"/>
  <c r="T27" i="24"/>
  <c r="P34" i="24"/>
  <c r="K36" i="24"/>
  <c r="P38" i="24"/>
  <c r="T52" i="24"/>
  <c r="S52" i="24"/>
  <c r="D95" i="24"/>
  <c r="L70" i="24"/>
  <c r="K70" i="24"/>
  <c r="L72" i="24"/>
  <c r="K72" i="24"/>
  <c r="L74" i="24"/>
  <c r="K74" i="24"/>
  <c r="L76" i="24"/>
  <c r="K76" i="24"/>
  <c r="L78" i="24"/>
  <c r="K78" i="24"/>
  <c r="L80" i="24"/>
  <c r="K80" i="24"/>
  <c r="L61" i="24"/>
  <c r="K61" i="24"/>
  <c r="L63" i="24"/>
  <c r="K63" i="24"/>
  <c r="L65" i="24"/>
  <c r="K65" i="24"/>
  <c r="K39" i="23"/>
  <c r="O39" i="23"/>
  <c r="P39" i="23"/>
  <c r="T39" i="23" s="1"/>
  <c r="K35" i="23"/>
  <c r="L23" i="23"/>
  <c r="O23" i="23" s="1"/>
  <c r="O51" i="23"/>
  <c r="K28" i="23"/>
  <c r="K59" i="23"/>
  <c r="K73" i="23"/>
  <c r="O87" i="23"/>
  <c r="G87" i="23"/>
  <c r="G75" i="23"/>
  <c r="L88" i="23"/>
  <c r="G81" i="23"/>
  <c r="G79" i="23"/>
  <c r="G73" i="23"/>
  <c r="K86" i="23"/>
  <c r="K84" i="23"/>
  <c r="K85" i="23"/>
  <c r="G65" i="23"/>
  <c r="O67" i="23"/>
  <c r="G66" i="23"/>
  <c r="G59" i="23"/>
  <c r="L48" i="23"/>
  <c r="P48" i="23" s="1"/>
  <c r="T48" i="23" s="1"/>
  <c r="S48" i="23" s="1"/>
  <c r="G37" i="23"/>
  <c r="K37" i="23"/>
  <c r="G36" i="23"/>
  <c r="O37" i="23"/>
  <c r="P33" i="23"/>
  <c r="T33" i="23" s="1"/>
  <c r="X33" i="23" s="1"/>
  <c r="W33" i="23" s="1"/>
  <c r="K33" i="23"/>
  <c r="G33" i="23"/>
  <c r="O27" i="23"/>
  <c r="P27" i="23"/>
  <c r="T27" i="23" s="1"/>
  <c r="X27" i="23" s="1"/>
  <c r="AB27" i="23" s="1"/>
  <c r="K21" i="23"/>
  <c r="K27" i="23"/>
  <c r="P28" i="23"/>
  <c r="T28" i="23" s="1"/>
  <c r="X28" i="23" s="1"/>
  <c r="T22" i="23"/>
  <c r="S22" i="23"/>
  <c r="AA9" i="23"/>
  <c r="W28" i="23"/>
  <c r="O25" i="23"/>
  <c r="P25" i="23"/>
  <c r="T26" i="23"/>
  <c r="S26" i="23"/>
  <c r="H30" i="23"/>
  <c r="O22" i="23"/>
  <c r="P24" i="23"/>
  <c r="K25" i="23"/>
  <c r="K26" i="23"/>
  <c r="S28" i="23"/>
  <c r="H41" i="23"/>
  <c r="G41" i="23" s="1"/>
  <c r="L34" i="23"/>
  <c r="K34" i="23" s="1"/>
  <c r="P36" i="23"/>
  <c r="O36" i="23" s="1"/>
  <c r="W39" i="23"/>
  <c r="X39" i="23"/>
  <c r="P21" i="23"/>
  <c r="K24" i="23"/>
  <c r="X37" i="23"/>
  <c r="W37" i="23" s="1"/>
  <c r="O26" i="23"/>
  <c r="X35" i="23"/>
  <c r="W35" i="23" s="1"/>
  <c r="T51" i="23"/>
  <c r="O38" i="23"/>
  <c r="P38" i="23"/>
  <c r="S35" i="23"/>
  <c r="K36" i="23"/>
  <c r="S37" i="23"/>
  <c r="K38" i="23"/>
  <c r="K60" i="23"/>
  <c r="K61" i="23"/>
  <c r="L68" i="23"/>
  <c r="K68" i="23"/>
  <c r="K72" i="23"/>
  <c r="O79" i="23"/>
  <c r="K80" i="23"/>
  <c r="H69" i="23"/>
  <c r="I69" i="23" s="1"/>
  <c r="K64" i="23"/>
  <c r="K78" i="23"/>
  <c r="K63" i="23"/>
  <c r="K76" i="23"/>
  <c r="D55" i="23"/>
  <c r="K62" i="23"/>
  <c r="K74" i="23"/>
  <c r="K82" i="23"/>
  <c r="D89" i="23"/>
  <c r="D108" i="23" s="1"/>
  <c r="K79" i="23"/>
  <c r="F46" i="28" l="1"/>
  <c r="N46" i="28" s="1"/>
  <c r="H46" i="28"/>
  <c r="P46" i="28" s="1"/>
  <c r="G46" i="28"/>
  <c r="O46" i="28" s="1"/>
  <c r="P23" i="23"/>
  <c r="O64" i="24"/>
  <c r="E15" i="22"/>
  <c r="F12" i="22" s="1"/>
  <c r="K88" i="23"/>
  <c r="P88" i="23"/>
  <c r="H20" i="27"/>
  <c r="H20" i="26" s="1"/>
  <c r="H20" i="28" s="1"/>
  <c r="L26" i="31"/>
  <c r="O35" i="23"/>
  <c r="T35" i="25"/>
  <c r="O52" i="25"/>
  <c r="S51" i="24"/>
  <c r="O62" i="24"/>
  <c r="O48" i="24"/>
  <c r="O73" i="23"/>
  <c r="H89" i="23"/>
  <c r="I89" i="23" s="1"/>
  <c r="O65" i="23"/>
  <c r="S33" i="23"/>
  <c r="I46" i="28"/>
  <c r="Q46" i="28" s="1"/>
  <c r="L30" i="23"/>
  <c r="O15" i="30"/>
  <c r="S51" i="23"/>
  <c r="K77" i="23"/>
  <c r="O59" i="23"/>
  <c r="P79" i="25"/>
  <c r="T79" i="25" s="1"/>
  <c r="L81" i="25"/>
  <c r="P81" i="25" s="1"/>
  <c r="P77" i="25"/>
  <c r="T77" i="25" s="1"/>
  <c r="K41" i="25"/>
  <c r="K81" i="25"/>
  <c r="O39" i="25"/>
  <c r="T37" i="25"/>
  <c r="W37" i="25" s="1"/>
  <c r="L41" i="25"/>
  <c r="O41" i="25" s="1"/>
  <c r="H47" i="25"/>
  <c r="K47" i="25" s="1"/>
  <c r="P110" i="25"/>
  <c r="O37" i="25"/>
  <c r="P75" i="25"/>
  <c r="S75" i="25" s="1"/>
  <c r="P48" i="25"/>
  <c r="S48" i="25" s="1"/>
  <c r="O72" i="25"/>
  <c r="P62" i="25"/>
  <c r="S62" i="25" s="1"/>
  <c r="G82" i="25"/>
  <c r="O61" i="25"/>
  <c r="H46" i="25"/>
  <c r="K46" i="25" s="1"/>
  <c r="P34" i="25"/>
  <c r="O34" i="25"/>
  <c r="H49" i="25"/>
  <c r="K49" i="25" s="1"/>
  <c r="P73" i="25"/>
  <c r="T73" i="25" s="1"/>
  <c r="O71" i="25"/>
  <c r="P78" i="25"/>
  <c r="O78" i="25"/>
  <c r="P74" i="25"/>
  <c r="O74" i="25"/>
  <c r="O64" i="25"/>
  <c r="P64" i="25"/>
  <c r="X35" i="25"/>
  <c r="W35" i="25"/>
  <c r="P63" i="25"/>
  <c r="O63" i="25"/>
  <c r="L45" i="25"/>
  <c r="O45" i="25" s="1"/>
  <c r="L47" i="25"/>
  <c r="O47" i="25" s="1"/>
  <c r="L46" i="25"/>
  <c r="O46" i="25" s="1"/>
  <c r="O30" i="25"/>
  <c r="L44" i="25"/>
  <c r="S22" i="25"/>
  <c r="T22" i="25"/>
  <c r="H13" i="25"/>
  <c r="K11" i="25"/>
  <c r="X23" i="25"/>
  <c r="W23" i="25"/>
  <c r="S24" i="25"/>
  <c r="T24" i="25"/>
  <c r="X38" i="25"/>
  <c r="W38" i="25"/>
  <c r="P59" i="25"/>
  <c r="L66" i="25"/>
  <c r="O66" i="25" s="1"/>
  <c r="O59" i="25"/>
  <c r="S52" i="25"/>
  <c r="T52" i="25"/>
  <c r="T61" i="25"/>
  <c r="S61" i="25"/>
  <c r="X39" i="25"/>
  <c r="W39" i="25"/>
  <c r="T13" i="25"/>
  <c r="W11" i="25"/>
  <c r="T28" i="25"/>
  <c r="S28" i="25"/>
  <c r="X33" i="25"/>
  <c r="W33" i="25"/>
  <c r="P80" i="25"/>
  <c r="O80" i="25"/>
  <c r="P76" i="25"/>
  <c r="O76" i="25"/>
  <c r="P65" i="25"/>
  <c r="O65" i="25"/>
  <c r="S51" i="25"/>
  <c r="T51" i="25"/>
  <c r="T72" i="25"/>
  <c r="S72" i="25"/>
  <c r="L82" i="25"/>
  <c r="K82" i="25" s="1"/>
  <c r="O69" i="25"/>
  <c r="X36" i="25"/>
  <c r="W36" i="25"/>
  <c r="S26" i="25"/>
  <c r="T26" i="25"/>
  <c r="X13" i="25"/>
  <c r="X110" i="25" s="1"/>
  <c r="AA11" i="25"/>
  <c r="X27" i="25"/>
  <c r="W27" i="25"/>
  <c r="P30" i="25"/>
  <c r="T21" i="25"/>
  <c r="S21" i="25"/>
  <c r="O70" i="25"/>
  <c r="H44" i="25"/>
  <c r="K30" i="25"/>
  <c r="D13" i="25"/>
  <c r="G11" i="25"/>
  <c r="X25" i="25"/>
  <c r="W25" i="25"/>
  <c r="L13" i="25"/>
  <c r="L110" i="25" s="1"/>
  <c r="O11" i="25"/>
  <c r="S60" i="25"/>
  <c r="T60" i="25"/>
  <c r="T69" i="24"/>
  <c r="S69" i="24" s="1"/>
  <c r="T59" i="24"/>
  <c r="S59" i="24" s="1"/>
  <c r="G66" i="24"/>
  <c r="P21" i="24"/>
  <c r="O21" i="24"/>
  <c r="P28" i="24"/>
  <c r="O28" i="24"/>
  <c r="S25" i="24"/>
  <c r="T25" i="24"/>
  <c r="X51" i="24"/>
  <c r="W51" i="24"/>
  <c r="O79" i="24"/>
  <c r="P79" i="24"/>
  <c r="O75" i="24"/>
  <c r="P75" i="24"/>
  <c r="O71" i="24"/>
  <c r="P71" i="24"/>
  <c r="P60" i="24"/>
  <c r="O60" i="24"/>
  <c r="P65" i="24"/>
  <c r="O65" i="24"/>
  <c r="P61" i="24"/>
  <c r="O61" i="24"/>
  <c r="P78" i="24"/>
  <c r="O78" i="24"/>
  <c r="P74" i="24"/>
  <c r="O74" i="24"/>
  <c r="P70" i="24"/>
  <c r="O70" i="24"/>
  <c r="T62" i="24"/>
  <c r="S62" i="24"/>
  <c r="T34" i="24"/>
  <c r="S34" i="24"/>
  <c r="T39" i="24"/>
  <c r="S39" i="24"/>
  <c r="P24" i="24"/>
  <c r="O24" i="24"/>
  <c r="D13" i="24"/>
  <c r="D15" i="24" s="1"/>
  <c r="G11" i="24"/>
  <c r="L13" i="24"/>
  <c r="L15" i="24" s="1"/>
  <c r="O11" i="24"/>
  <c r="X13" i="24"/>
  <c r="X15" i="24" s="1"/>
  <c r="AA15" i="24" s="1"/>
  <c r="AA11" i="24"/>
  <c r="X52" i="24"/>
  <c r="W52" i="24"/>
  <c r="X27" i="24"/>
  <c r="W27" i="24"/>
  <c r="L41" i="24"/>
  <c r="O33" i="24"/>
  <c r="P33" i="24"/>
  <c r="T48" i="24"/>
  <c r="S48" i="24"/>
  <c r="P81" i="24"/>
  <c r="O81" i="24"/>
  <c r="O77" i="24"/>
  <c r="P77" i="24"/>
  <c r="O73" i="24"/>
  <c r="P73" i="24"/>
  <c r="L82" i="24"/>
  <c r="K82" i="24" s="1"/>
  <c r="S23" i="24"/>
  <c r="T23" i="24"/>
  <c r="P13" i="24"/>
  <c r="P15" i="24" s="1"/>
  <c r="S11" i="24"/>
  <c r="AA22" i="24"/>
  <c r="AB22" i="24"/>
  <c r="P63" i="24"/>
  <c r="O63" i="24"/>
  <c r="P80" i="24"/>
  <c r="O80" i="24"/>
  <c r="P76" i="24"/>
  <c r="O76" i="24"/>
  <c r="P72" i="24"/>
  <c r="O72" i="24"/>
  <c r="T64" i="24"/>
  <c r="S64" i="24"/>
  <c r="T38" i="24"/>
  <c r="S38" i="24"/>
  <c r="P26" i="24"/>
  <c r="O26" i="24"/>
  <c r="H50" i="24"/>
  <c r="K50" i="24" s="1"/>
  <c r="H47" i="24"/>
  <c r="K47" i="24" s="1"/>
  <c r="H45" i="24"/>
  <c r="K45" i="24" s="1"/>
  <c r="H49" i="24"/>
  <c r="K49" i="24" s="1"/>
  <c r="K41" i="24"/>
  <c r="H46" i="24"/>
  <c r="K46" i="24" s="1"/>
  <c r="T36" i="24"/>
  <c r="S36" i="24"/>
  <c r="L66" i="24"/>
  <c r="T35" i="24"/>
  <c r="S35" i="24"/>
  <c r="T13" i="24"/>
  <c r="T15" i="24" s="1"/>
  <c r="W11" i="24"/>
  <c r="K44" i="24"/>
  <c r="H13" i="24"/>
  <c r="K11" i="24"/>
  <c r="T37" i="24"/>
  <c r="S37" i="24"/>
  <c r="L30" i="24"/>
  <c r="S39" i="23"/>
  <c r="O88" i="23"/>
  <c r="K87" i="23"/>
  <c r="K75" i="23"/>
  <c r="O75" i="23"/>
  <c r="K83" i="23"/>
  <c r="K81" i="23"/>
  <c r="O81" i="23"/>
  <c r="O77" i="23"/>
  <c r="O83" i="23"/>
  <c r="O84" i="23"/>
  <c r="O86" i="23"/>
  <c r="O85" i="23"/>
  <c r="O66" i="23"/>
  <c r="K66" i="23"/>
  <c r="G69" i="23"/>
  <c r="K48" i="23"/>
  <c r="L69" i="23"/>
  <c r="M69" i="23" s="1"/>
  <c r="O48" i="23"/>
  <c r="L41" i="23"/>
  <c r="K41" i="23" s="1"/>
  <c r="O33" i="23"/>
  <c r="W27" i="23"/>
  <c r="AA27" i="23"/>
  <c r="D13" i="23"/>
  <c r="S27" i="23"/>
  <c r="T73" i="23"/>
  <c r="S73" i="23" s="1"/>
  <c r="T75" i="23"/>
  <c r="S75" i="23" s="1"/>
  <c r="T79" i="23"/>
  <c r="S79" i="23" s="1"/>
  <c r="O64" i="23"/>
  <c r="P68" i="23"/>
  <c r="O68" i="23"/>
  <c r="O82" i="23"/>
  <c r="O74" i="23"/>
  <c r="O63" i="23"/>
  <c r="O78" i="23"/>
  <c r="O80" i="23"/>
  <c r="O72" i="23"/>
  <c r="P34" i="23"/>
  <c r="O34" i="23" s="1"/>
  <c r="S24" i="23"/>
  <c r="T24" i="23"/>
  <c r="T25" i="23"/>
  <c r="S25" i="23"/>
  <c r="O61" i="23"/>
  <c r="T38" i="23"/>
  <c r="S38" i="23"/>
  <c r="AB35" i="23"/>
  <c r="AA35" i="23" s="1"/>
  <c r="AB37" i="23"/>
  <c r="AA37" i="23" s="1"/>
  <c r="P30" i="23"/>
  <c r="T21" i="23"/>
  <c r="S21" i="23"/>
  <c r="T36" i="23"/>
  <c r="S36" i="23" s="1"/>
  <c r="G45" i="23"/>
  <c r="G49" i="23"/>
  <c r="G46" i="23"/>
  <c r="G50" i="23"/>
  <c r="G47" i="23"/>
  <c r="T23" i="23"/>
  <c r="S23" i="23"/>
  <c r="W22" i="23"/>
  <c r="X22" i="23"/>
  <c r="O60" i="23"/>
  <c r="X51" i="23"/>
  <c r="W51" i="23" s="1"/>
  <c r="L44" i="23"/>
  <c r="O30" i="23"/>
  <c r="AB28" i="23"/>
  <c r="AA28" i="23"/>
  <c r="T83" i="23"/>
  <c r="S83" i="23" s="1"/>
  <c r="T77" i="23"/>
  <c r="S77" i="23" s="1"/>
  <c r="O62" i="23"/>
  <c r="X48" i="23"/>
  <c r="W48" i="23" s="1"/>
  <c r="AB33" i="23"/>
  <c r="AA33" i="23" s="1"/>
  <c r="L49" i="23"/>
  <c r="AB39" i="23"/>
  <c r="AA39" i="23"/>
  <c r="H44" i="23"/>
  <c r="K30" i="23"/>
  <c r="W26" i="23"/>
  <c r="X26" i="23"/>
  <c r="T81" i="23"/>
  <c r="S81" i="23" s="1"/>
  <c r="O76" i="23"/>
  <c r="I14" i="22"/>
  <c r="I35" i="22" s="1"/>
  <c r="I36" i="22" s="1"/>
  <c r="G35" i="22"/>
  <c r="G36" i="22" s="1"/>
  <c r="K26" i="31" l="1"/>
  <c r="K69" i="23"/>
  <c r="X37" i="25"/>
  <c r="O81" i="25"/>
  <c r="T62" i="25"/>
  <c r="X62" i="25" s="1"/>
  <c r="G89" i="23"/>
  <c r="S77" i="25"/>
  <c r="J46" i="28"/>
  <c r="S15" i="24"/>
  <c r="T59" i="23"/>
  <c r="S59" i="23" s="1"/>
  <c r="S79" i="25"/>
  <c r="P89" i="23"/>
  <c r="T48" i="25"/>
  <c r="W48" i="25" s="1"/>
  <c r="T75" i="25"/>
  <c r="W75" i="25" s="1"/>
  <c r="L50" i="25"/>
  <c r="O50" i="25" s="1"/>
  <c r="L49" i="25"/>
  <c r="O49" i="25" s="1"/>
  <c r="S13" i="25"/>
  <c r="T110" i="25"/>
  <c r="H110" i="25"/>
  <c r="D99" i="25"/>
  <c r="S73" i="25"/>
  <c r="S34" i="25"/>
  <c r="P41" i="25"/>
  <c r="T34" i="25"/>
  <c r="T71" i="25"/>
  <c r="S71" i="25"/>
  <c r="O13" i="25"/>
  <c r="AA27" i="25"/>
  <c r="AB27" i="25"/>
  <c r="AA36" i="25"/>
  <c r="AB36" i="25"/>
  <c r="H53" i="25"/>
  <c r="K44" i="25"/>
  <c r="AA33" i="25"/>
  <c r="AB33" i="25"/>
  <c r="W13" i="25"/>
  <c r="AA39" i="25"/>
  <c r="AB39" i="25"/>
  <c r="T70" i="25"/>
  <c r="S70" i="25" s="1"/>
  <c r="T30" i="25"/>
  <c r="X21" i="25"/>
  <c r="W21" i="25"/>
  <c r="X15" i="25"/>
  <c r="AA37" i="25"/>
  <c r="AB37" i="25"/>
  <c r="S65" i="25"/>
  <c r="T65" i="25"/>
  <c r="T80" i="25"/>
  <c r="S80" i="25"/>
  <c r="T15" i="25"/>
  <c r="X52" i="25"/>
  <c r="W52" i="25"/>
  <c r="P66" i="25"/>
  <c r="S66" i="25" s="1"/>
  <c r="S59" i="25"/>
  <c r="T59" i="25"/>
  <c r="X73" i="25"/>
  <c r="W73" i="25"/>
  <c r="AA23" i="25"/>
  <c r="AB23" i="25"/>
  <c r="AA35" i="25"/>
  <c r="AB35" i="25"/>
  <c r="T74" i="25"/>
  <c r="S74" i="25"/>
  <c r="P44" i="25"/>
  <c r="S30" i="25"/>
  <c r="X51" i="25"/>
  <c r="W51" i="25"/>
  <c r="X28" i="25"/>
  <c r="W28" i="25"/>
  <c r="X24" i="25"/>
  <c r="W24" i="25"/>
  <c r="X22" i="25"/>
  <c r="W22" i="25"/>
  <c r="T64" i="25"/>
  <c r="S64" i="25"/>
  <c r="AA25" i="25"/>
  <c r="AB25" i="25"/>
  <c r="X77" i="25"/>
  <c r="W77" i="25"/>
  <c r="X79" i="25"/>
  <c r="W79" i="25"/>
  <c r="X60" i="25"/>
  <c r="W60" i="25"/>
  <c r="X26" i="25"/>
  <c r="W26" i="25"/>
  <c r="P82" i="25"/>
  <c r="T69" i="25"/>
  <c r="S69" i="25" s="1"/>
  <c r="X72" i="25"/>
  <c r="W72" i="25"/>
  <c r="T76" i="25"/>
  <c r="S76" i="25"/>
  <c r="AA38" i="25"/>
  <c r="AB38" i="25"/>
  <c r="S81" i="25"/>
  <c r="T81" i="25"/>
  <c r="K13" i="25"/>
  <c r="T63" i="25"/>
  <c r="S63" i="25"/>
  <c r="T78" i="25"/>
  <c r="S78" i="25"/>
  <c r="W61" i="25"/>
  <c r="X61" i="25"/>
  <c r="D110" i="25"/>
  <c r="G13" i="25"/>
  <c r="AB13" i="25" s="1"/>
  <c r="O44" i="25"/>
  <c r="K66" i="24"/>
  <c r="H53" i="24"/>
  <c r="K53" i="24" s="1"/>
  <c r="S28" i="24"/>
  <c r="T28" i="24"/>
  <c r="X25" i="24"/>
  <c r="W25" i="24"/>
  <c r="S21" i="24"/>
  <c r="T21" i="24"/>
  <c r="W15" i="24"/>
  <c r="O15" i="24"/>
  <c r="H96" i="24"/>
  <c r="K13" i="24"/>
  <c r="X64" i="24"/>
  <c r="W64" i="24"/>
  <c r="S63" i="24"/>
  <c r="T63" i="24"/>
  <c r="H15" i="24"/>
  <c r="K15" i="24" s="1"/>
  <c r="W38" i="24"/>
  <c r="X38" i="24"/>
  <c r="T72" i="24"/>
  <c r="S72" i="24"/>
  <c r="T80" i="24"/>
  <c r="S80" i="24"/>
  <c r="P96" i="24"/>
  <c r="S13" i="24"/>
  <c r="P82" i="24"/>
  <c r="O82" i="24" s="1"/>
  <c r="T77" i="24"/>
  <c r="S77" i="24"/>
  <c r="L49" i="24"/>
  <c r="O49" i="24" s="1"/>
  <c r="L46" i="24"/>
  <c r="O46" i="24" s="1"/>
  <c r="L50" i="24"/>
  <c r="O50" i="24" s="1"/>
  <c r="L47" i="24"/>
  <c r="O47" i="24" s="1"/>
  <c r="O41" i="24"/>
  <c r="L45" i="24"/>
  <c r="O45" i="24" s="1"/>
  <c r="AB52" i="24"/>
  <c r="AA52" i="24"/>
  <c r="X96" i="24"/>
  <c r="AA13" i="24"/>
  <c r="T71" i="24"/>
  <c r="S71" i="24"/>
  <c r="T79" i="24"/>
  <c r="S79" i="24"/>
  <c r="X23" i="24"/>
  <c r="W23" i="24"/>
  <c r="X48" i="24"/>
  <c r="W48" i="24"/>
  <c r="W39" i="24"/>
  <c r="X39" i="24"/>
  <c r="X62" i="24"/>
  <c r="W62" i="24"/>
  <c r="T74" i="24"/>
  <c r="S74" i="24"/>
  <c r="S61" i="24"/>
  <c r="T61" i="24"/>
  <c r="W35" i="24"/>
  <c r="X35" i="24"/>
  <c r="W36" i="24"/>
  <c r="X36" i="24"/>
  <c r="S26" i="24"/>
  <c r="T26" i="24"/>
  <c r="T76" i="24"/>
  <c r="S76" i="24"/>
  <c r="T73" i="24"/>
  <c r="S73" i="24"/>
  <c r="T33" i="24"/>
  <c r="P41" i="24"/>
  <c r="S33" i="24"/>
  <c r="AA27" i="24"/>
  <c r="AB27" i="24"/>
  <c r="T75" i="24"/>
  <c r="S75" i="24"/>
  <c r="L44" i="24"/>
  <c r="O30" i="24"/>
  <c r="W37" i="24"/>
  <c r="X37" i="24"/>
  <c r="T96" i="24"/>
  <c r="W13" i="24"/>
  <c r="P66" i="24"/>
  <c r="O66" i="24" s="1"/>
  <c r="S81" i="24"/>
  <c r="T81" i="24"/>
  <c r="L96" i="24"/>
  <c r="O13" i="24"/>
  <c r="D96" i="24"/>
  <c r="D97" i="24" s="1"/>
  <c r="G13" i="24"/>
  <c r="AB13" i="24" s="1"/>
  <c r="D85" i="24"/>
  <c r="S24" i="24"/>
  <c r="T24" i="24"/>
  <c r="P30" i="24"/>
  <c r="W34" i="24"/>
  <c r="X34" i="24"/>
  <c r="T70" i="24"/>
  <c r="S70" i="24"/>
  <c r="T78" i="24"/>
  <c r="S78" i="24"/>
  <c r="S65" i="24"/>
  <c r="T65" i="24"/>
  <c r="T60" i="24"/>
  <c r="S60" i="24"/>
  <c r="AB51" i="24"/>
  <c r="AA51" i="24"/>
  <c r="L46" i="23"/>
  <c r="K46" i="23" s="1"/>
  <c r="D15" i="23"/>
  <c r="D98" i="23"/>
  <c r="D100" i="23" s="1"/>
  <c r="L89" i="23"/>
  <c r="M89" i="23" s="1"/>
  <c r="P69" i="23"/>
  <c r="Q69" i="23" s="1"/>
  <c r="L50" i="23"/>
  <c r="K50" i="23" s="1"/>
  <c r="L47" i="23"/>
  <c r="K47" i="23" s="1"/>
  <c r="L45" i="23"/>
  <c r="K45" i="23" s="1"/>
  <c r="K49" i="23"/>
  <c r="D109" i="23"/>
  <c r="D110" i="23" s="1"/>
  <c r="T62" i="23"/>
  <c r="S62" i="23" s="1"/>
  <c r="X83" i="23"/>
  <c r="W83" i="23" s="1"/>
  <c r="AB22" i="23"/>
  <c r="AA22" i="23"/>
  <c r="X38" i="23"/>
  <c r="W38" i="23"/>
  <c r="T34" i="23"/>
  <c r="S34" i="23" s="1"/>
  <c r="P41" i="23"/>
  <c r="O41" i="23" s="1"/>
  <c r="T72" i="23"/>
  <c r="S72" i="23" s="1"/>
  <c r="T63" i="23"/>
  <c r="S63" i="23" s="1"/>
  <c r="S68" i="23"/>
  <c r="T68" i="23"/>
  <c r="X79" i="23"/>
  <c r="W79" i="23" s="1"/>
  <c r="X73" i="23"/>
  <c r="W73" i="23" s="1"/>
  <c r="X81" i="23"/>
  <c r="W81" i="23" s="1"/>
  <c r="K44" i="23"/>
  <c r="H53" i="23"/>
  <c r="AB51" i="23"/>
  <c r="AA51" i="23" s="1"/>
  <c r="X21" i="23"/>
  <c r="T30" i="23"/>
  <c r="W21" i="23"/>
  <c r="W25" i="23"/>
  <c r="X25" i="23"/>
  <c r="T78" i="23"/>
  <c r="S78" i="23" s="1"/>
  <c r="T82" i="23"/>
  <c r="S82" i="23" s="1"/>
  <c r="AB26" i="23"/>
  <c r="AA26" i="23"/>
  <c r="AB48" i="23"/>
  <c r="AA48" i="23" s="1"/>
  <c r="X77" i="23"/>
  <c r="W77" i="23" s="1"/>
  <c r="P44" i="23"/>
  <c r="S30" i="23"/>
  <c r="T61" i="23"/>
  <c r="S61" i="23" s="1"/>
  <c r="W24" i="23"/>
  <c r="X24" i="23"/>
  <c r="T64" i="23"/>
  <c r="S64" i="23" s="1"/>
  <c r="X75" i="23"/>
  <c r="W75" i="23" s="1"/>
  <c r="T76" i="23"/>
  <c r="S76" i="23" s="1"/>
  <c r="O44" i="23"/>
  <c r="T60" i="23"/>
  <c r="S60" i="23" s="1"/>
  <c r="X23" i="23"/>
  <c r="W23" i="23"/>
  <c r="X36" i="23"/>
  <c r="W36" i="23" s="1"/>
  <c r="T80" i="23"/>
  <c r="S80" i="23" s="1"/>
  <c r="T74" i="23"/>
  <c r="S74" i="23" s="1"/>
  <c r="Q89" i="23" l="1"/>
  <c r="K89" i="23"/>
  <c r="T88" i="23"/>
  <c r="X88" i="23" s="1"/>
  <c r="S88" i="23"/>
  <c r="O69" i="23"/>
  <c r="X48" i="25"/>
  <c r="AB48" i="25" s="1"/>
  <c r="W62" i="25"/>
  <c r="H95" i="24"/>
  <c r="H97" i="24" s="1"/>
  <c r="X75" i="25"/>
  <c r="AB75" i="25" s="1"/>
  <c r="H55" i="24"/>
  <c r="K55" i="24" s="1"/>
  <c r="L46" i="28"/>
  <c r="K46" i="28"/>
  <c r="X59" i="23"/>
  <c r="W59" i="23" s="1"/>
  <c r="O89" i="23"/>
  <c r="L53" i="25"/>
  <c r="L109" i="25" s="1"/>
  <c r="L111" i="25" s="1"/>
  <c r="AA13" i="25"/>
  <c r="AB110" i="25"/>
  <c r="H109" i="25"/>
  <c r="H111" i="25" s="1"/>
  <c r="O82" i="25"/>
  <c r="D111" i="25"/>
  <c r="D112" i="25" s="1"/>
  <c r="P46" i="25"/>
  <c r="S46" i="25" s="1"/>
  <c r="S41" i="25"/>
  <c r="P45" i="25"/>
  <c r="S45" i="25" s="1"/>
  <c r="P47" i="25"/>
  <c r="S47" i="25" s="1"/>
  <c r="P50" i="25"/>
  <c r="S50" i="25" s="1"/>
  <c r="P49" i="25"/>
  <c r="S49" i="25" s="1"/>
  <c r="X34" i="25"/>
  <c r="T41" i="25"/>
  <c r="W34" i="25"/>
  <c r="AB62" i="25"/>
  <c r="AA62" i="25"/>
  <c r="W71" i="25"/>
  <c r="X71" i="25"/>
  <c r="W15" i="25"/>
  <c r="W76" i="25"/>
  <c r="X76" i="25"/>
  <c r="X64" i="25"/>
  <c r="W64" i="25"/>
  <c r="AA51" i="25"/>
  <c r="AB51" i="25"/>
  <c r="X81" i="25"/>
  <c r="W81" i="25"/>
  <c r="AB22" i="25"/>
  <c r="AA22" i="25"/>
  <c r="S44" i="25"/>
  <c r="AB73" i="25"/>
  <c r="AA73" i="25"/>
  <c r="W78" i="25"/>
  <c r="X78" i="25"/>
  <c r="X69" i="25"/>
  <c r="W69" i="25" s="1"/>
  <c r="T82" i="25"/>
  <c r="AB26" i="25"/>
  <c r="AA26" i="25"/>
  <c r="X59" i="25"/>
  <c r="W59" i="25"/>
  <c r="T66" i="25"/>
  <c r="W66" i="25" s="1"/>
  <c r="AA52" i="25"/>
  <c r="AB52" i="25"/>
  <c r="W65" i="25"/>
  <c r="X65" i="25"/>
  <c r="AB24" i="25"/>
  <c r="AA24" i="25"/>
  <c r="X70" i="25"/>
  <c r="W70" i="25" s="1"/>
  <c r="K53" i="25"/>
  <c r="H55" i="25"/>
  <c r="H99" i="25" s="1"/>
  <c r="AA61" i="25"/>
  <c r="AB61" i="25"/>
  <c r="AA60" i="25"/>
  <c r="AB60" i="25"/>
  <c r="W63" i="25"/>
  <c r="X63" i="25"/>
  <c r="AA21" i="25"/>
  <c r="X30" i="25"/>
  <c r="AB21" i="25"/>
  <c r="AB77" i="25"/>
  <c r="AA77" i="25"/>
  <c r="W74" i="25"/>
  <c r="X74" i="25"/>
  <c r="D101" i="25"/>
  <c r="AB15" i="25"/>
  <c r="AA15" i="25" s="1"/>
  <c r="AA72" i="25"/>
  <c r="AB72" i="25"/>
  <c r="AB79" i="25"/>
  <c r="AA79" i="25"/>
  <c r="AA28" i="25"/>
  <c r="AB28" i="25"/>
  <c r="W80" i="25"/>
  <c r="X80" i="25"/>
  <c r="W30" i="25"/>
  <c r="T44" i="25"/>
  <c r="AA25" i="24"/>
  <c r="AB25" i="24"/>
  <c r="W21" i="24"/>
  <c r="X21" i="24"/>
  <c r="W28" i="24"/>
  <c r="X28" i="24"/>
  <c r="G15" i="24"/>
  <c r="W24" i="24"/>
  <c r="X24" i="24"/>
  <c r="X65" i="24"/>
  <c r="W65" i="24"/>
  <c r="S30" i="24"/>
  <c r="P44" i="24"/>
  <c r="AB96" i="24"/>
  <c r="AB15" i="24"/>
  <c r="X81" i="24"/>
  <c r="W81" i="24"/>
  <c r="T41" i="24"/>
  <c r="W33" i="24"/>
  <c r="X33" i="24"/>
  <c r="W76" i="24"/>
  <c r="X76" i="24"/>
  <c r="W74" i="24"/>
  <c r="X74" i="24"/>
  <c r="X69" i="24"/>
  <c r="W69" i="24" s="1"/>
  <c r="T82" i="24"/>
  <c r="W80" i="24"/>
  <c r="X80" i="24"/>
  <c r="X59" i="24"/>
  <c r="W59" i="24" s="1"/>
  <c r="T66" i="24"/>
  <c r="AB35" i="24"/>
  <c r="AA35" i="24"/>
  <c r="AB23" i="24"/>
  <c r="AA23" i="24"/>
  <c r="X71" i="24"/>
  <c r="W71" i="24"/>
  <c r="X77" i="24"/>
  <c r="W77" i="24"/>
  <c r="W70" i="24"/>
  <c r="X70" i="24"/>
  <c r="X61" i="24"/>
  <c r="W61" i="24"/>
  <c r="AB34" i="24"/>
  <c r="AA34" i="24"/>
  <c r="AB37" i="24"/>
  <c r="AA37" i="24"/>
  <c r="AA64" i="24"/>
  <c r="AB64" i="24"/>
  <c r="O44" i="24"/>
  <c r="L53" i="24"/>
  <c r="X26" i="24"/>
  <c r="W26" i="24"/>
  <c r="X73" i="24"/>
  <c r="W73" i="24"/>
  <c r="AA62" i="24"/>
  <c r="AB62" i="24"/>
  <c r="AA48" i="24"/>
  <c r="AB48" i="24"/>
  <c r="W72" i="24"/>
  <c r="X72" i="24"/>
  <c r="X60" i="24"/>
  <c r="W60" i="24"/>
  <c r="W78" i="24"/>
  <c r="X78" i="24"/>
  <c r="D98" i="24"/>
  <c r="D87" i="24"/>
  <c r="X75" i="24"/>
  <c r="W75" i="24"/>
  <c r="P45" i="24"/>
  <c r="S45" i="24" s="1"/>
  <c r="P49" i="24"/>
  <c r="S49" i="24" s="1"/>
  <c r="P46" i="24"/>
  <c r="S46" i="24" s="1"/>
  <c r="P50" i="24"/>
  <c r="S50" i="24" s="1"/>
  <c r="P47" i="24"/>
  <c r="S47" i="24" s="1"/>
  <c r="S41" i="24"/>
  <c r="AB36" i="24"/>
  <c r="AA36" i="24"/>
  <c r="AB39" i="24"/>
  <c r="AA39" i="24"/>
  <c r="T30" i="24"/>
  <c r="X79" i="24"/>
  <c r="W79" i="24"/>
  <c r="S82" i="24"/>
  <c r="AB38" i="24"/>
  <c r="AA38" i="24"/>
  <c r="X63" i="24"/>
  <c r="W63" i="24"/>
  <c r="G53" i="23"/>
  <c r="H108" i="23"/>
  <c r="D111" i="23"/>
  <c r="L53" i="23"/>
  <c r="L108" i="23" s="1"/>
  <c r="X60" i="23"/>
  <c r="W60" i="23" s="1"/>
  <c r="X64" i="23"/>
  <c r="W64" i="23" s="1"/>
  <c r="AB81" i="23"/>
  <c r="AA81" i="23" s="1"/>
  <c r="X74" i="23"/>
  <c r="W74" i="23" s="1"/>
  <c r="AA23" i="23"/>
  <c r="AB23" i="23"/>
  <c r="S44" i="23"/>
  <c r="X82" i="23"/>
  <c r="W82" i="23" s="1"/>
  <c r="AB73" i="23"/>
  <c r="AA73" i="23" s="1"/>
  <c r="X68" i="23"/>
  <c r="W68" i="23"/>
  <c r="AB83" i="23"/>
  <c r="AA83" i="23" s="1"/>
  <c r="D102" i="23"/>
  <c r="AB24" i="23"/>
  <c r="AA24" i="23"/>
  <c r="X61" i="23"/>
  <c r="W61" i="23" s="1"/>
  <c r="AB77" i="23"/>
  <c r="AA77" i="23" s="1"/>
  <c r="T44" i="23"/>
  <c r="W30" i="23"/>
  <c r="H55" i="23"/>
  <c r="T69" i="23"/>
  <c r="X34" i="23"/>
  <c r="W34" i="23" s="1"/>
  <c r="T41" i="23"/>
  <c r="S41" i="23" s="1"/>
  <c r="AB38" i="23"/>
  <c r="AA38" i="23"/>
  <c r="X80" i="23"/>
  <c r="W80" i="23" s="1"/>
  <c r="X78" i="23"/>
  <c r="W78" i="23" s="1"/>
  <c r="AA25" i="23"/>
  <c r="AB25" i="23"/>
  <c r="X30" i="23"/>
  <c r="AB21" i="23"/>
  <c r="AA21" i="23"/>
  <c r="AB79" i="23"/>
  <c r="AA79" i="23" s="1"/>
  <c r="X63" i="23"/>
  <c r="W63" i="23" s="1"/>
  <c r="X72" i="23"/>
  <c r="W72" i="23" s="1"/>
  <c r="T89" i="23"/>
  <c r="AB36" i="23"/>
  <c r="AA36" i="23" s="1"/>
  <c r="X76" i="23"/>
  <c r="W76" i="23" s="1"/>
  <c r="AB75" i="23"/>
  <c r="AA75" i="23" s="1"/>
  <c r="P50" i="23"/>
  <c r="P47" i="23"/>
  <c r="P45" i="23"/>
  <c r="P49" i="23"/>
  <c r="P46" i="23"/>
  <c r="X62" i="23"/>
  <c r="W62" i="23" s="1"/>
  <c r="W88" i="23" l="1"/>
  <c r="AA48" i="25"/>
  <c r="AA75" i="25"/>
  <c r="H85" i="24"/>
  <c r="G85" i="24" s="1"/>
  <c r="L55" i="25"/>
  <c r="L99" i="25" s="1"/>
  <c r="AB59" i="23"/>
  <c r="AA59" i="23" s="1"/>
  <c r="S89" i="23"/>
  <c r="O53" i="25"/>
  <c r="S82" i="25"/>
  <c r="W41" i="25"/>
  <c r="T49" i="25"/>
  <c r="W49" i="25" s="1"/>
  <c r="T45" i="25"/>
  <c r="W45" i="25" s="1"/>
  <c r="T46" i="25"/>
  <c r="W46" i="25" s="1"/>
  <c r="T50" i="25"/>
  <c r="W50" i="25" s="1"/>
  <c r="T47" i="25"/>
  <c r="W47" i="25" s="1"/>
  <c r="P53" i="25"/>
  <c r="P109" i="25" s="1"/>
  <c r="P111" i="25" s="1"/>
  <c r="X41" i="25"/>
  <c r="X50" i="25" s="1"/>
  <c r="AA50" i="25" s="1"/>
  <c r="AA34" i="25"/>
  <c r="AB34" i="25"/>
  <c r="AB41" i="25" s="1"/>
  <c r="AB46" i="25" s="1"/>
  <c r="AB30" i="25"/>
  <c r="AB71" i="25"/>
  <c r="AA71" i="25"/>
  <c r="AB45" i="25"/>
  <c r="AB74" i="25"/>
  <c r="AA74" i="25"/>
  <c r="AB81" i="25"/>
  <c r="AA81" i="25"/>
  <c r="W44" i="25"/>
  <c r="AA30" i="25"/>
  <c r="AB63" i="25"/>
  <c r="AA63" i="25"/>
  <c r="AB80" i="25"/>
  <c r="AA80" i="25"/>
  <c r="K55" i="25"/>
  <c r="G99" i="25"/>
  <c r="X47" i="25"/>
  <c r="AA47" i="25" s="1"/>
  <c r="X66" i="25"/>
  <c r="AA66" i="25" s="1"/>
  <c r="AA59" i="25"/>
  <c r="AB59" i="25"/>
  <c r="P55" i="25"/>
  <c r="P99" i="25" s="1"/>
  <c r="X82" i="25"/>
  <c r="AB69" i="25"/>
  <c r="AA69" i="25" s="1"/>
  <c r="D103" i="25"/>
  <c r="AB70" i="25"/>
  <c r="AA70" i="25" s="1"/>
  <c r="AB65" i="25"/>
  <c r="AA65" i="25"/>
  <c r="AB78" i="25"/>
  <c r="AA78" i="25"/>
  <c r="AB76" i="25"/>
  <c r="AA76" i="25"/>
  <c r="AB64" i="25"/>
  <c r="AA64" i="25"/>
  <c r="S66" i="24"/>
  <c r="AA28" i="24"/>
  <c r="AB28" i="24"/>
  <c r="AB21" i="24"/>
  <c r="AA21" i="24"/>
  <c r="AB63" i="24"/>
  <c r="AA63" i="24"/>
  <c r="T44" i="24"/>
  <c r="W30" i="24"/>
  <c r="AB75" i="24"/>
  <c r="AA75" i="24"/>
  <c r="AB78" i="24"/>
  <c r="AA78" i="24"/>
  <c r="AB72" i="24"/>
  <c r="AA72" i="24"/>
  <c r="AB70" i="24"/>
  <c r="AA70" i="24"/>
  <c r="D89" i="24"/>
  <c r="AA26" i="24"/>
  <c r="AB26" i="24"/>
  <c r="AB71" i="24"/>
  <c r="AA71" i="24"/>
  <c r="AB76" i="24"/>
  <c r="AA76" i="24"/>
  <c r="AB65" i="24"/>
  <c r="AA65" i="24"/>
  <c r="X66" i="24"/>
  <c r="AB59" i="24"/>
  <c r="AA59" i="24" s="1"/>
  <c r="T45" i="24"/>
  <c r="W45" i="24" s="1"/>
  <c r="T49" i="24"/>
  <c r="W49" i="24" s="1"/>
  <c r="T46" i="24"/>
  <c r="W46" i="24" s="1"/>
  <c r="T47" i="24"/>
  <c r="W47" i="24" s="1"/>
  <c r="T50" i="24"/>
  <c r="W50" i="24" s="1"/>
  <c r="W41" i="24"/>
  <c r="O53" i="24"/>
  <c r="L55" i="24"/>
  <c r="L95" i="24"/>
  <c r="L97" i="24" s="1"/>
  <c r="X30" i="24"/>
  <c r="AB80" i="24"/>
  <c r="AA80" i="24"/>
  <c r="X82" i="24"/>
  <c r="W82" i="24" s="1"/>
  <c r="AB69" i="24"/>
  <c r="AA69" i="24" s="1"/>
  <c r="S44" i="24"/>
  <c r="P53" i="24"/>
  <c r="AA24" i="24"/>
  <c r="AB24" i="24"/>
  <c r="AB79" i="24"/>
  <c r="AA79" i="24"/>
  <c r="AA60" i="24"/>
  <c r="AB60" i="24"/>
  <c r="AB73" i="24"/>
  <c r="AA73" i="24"/>
  <c r="AB61" i="24"/>
  <c r="AA61" i="24"/>
  <c r="AB77" i="24"/>
  <c r="AA77" i="24"/>
  <c r="AB74" i="24"/>
  <c r="AA74" i="24"/>
  <c r="X41" i="24"/>
  <c r="AB33" i="24"/>
  <c r="AB41" i="24" s="1"/>
  <c r="AA33" i="24"/>
  <c r="AB81" i="24"/>
  <c r="AA81" i="24"/>
  <c r="S69" i="23"/>
  <c r="K53" i="23"/>
  <c r="L55" i="23"/>
  <c r="L13" i="23" s="1"/>
  <c r="O50" i="23"/>
  <c r="H13" i="23"/>
  <c r="G55" i="23"/>
  <c r="O49" i="23"/>
  <c r="O45" i="23"/>
  <c r="O47" i="23"/>
  <c r="O46" i="23"/>
  <c r="X89" i="23"/>
  <c r="AB72" i="23"/>
  <c r="AA72" i="23" s="1"/>
  <c r="AB80" i="23"/>
  <c r="AA80" i="23" s="1"/>
  <c r="AB63" i="23"/>
  <c r="AA63" i="23" s="1"/>
  <c r="AB76" i="23"/>
  <c r="AA76" i="23" s="1"/>
  <c r="AA30" i="23"/>
  <c r="AB78" i="23"/>
  <c r="AA78" i="23" s="1"/>
  <c r="W44" i="23"/>
  <c r="AB61" i="23"/>
  <c r="AA61" i="23" s="1"/>
  <c r="H7" i="23"/>
  <c r="AB68" i="23"/>
  <c r="AA68" i="23"/>
  <c r="AB82" i="23"/>
  <c r="AA82" i="23" s="1"/>
  <c r="AB74" i="23"/>
  <c r="AA74" i="23" s="1"/>
  <c r="T49" i="23"/>
  <c r="S49" i="23" s="1"/>
  <c r="T46" i="23"/>
  <c r="S46" i="23" s="1"/>
  <c r="T50" i="23"/>
  <c r="T47" i="23"/>
  <c r="S47" i="23" s="1"/>
  <c r="T45" i="23"/>
  <c r="S45" i="23" s="1"/>
  <c r="AB64" i="23"/>
  <c r="AA64" i="23" s="1"/>
  <c r="P53" i="23"/>
  <c r="AB62" i="23"/>
  <c r="AA62" i="23" s="1"/>
  <c r="AB30" i="23"/>
  <c r="AB34" i="23"/>
  <c r="AB41" i="23" s="1"/>
  <c r="X41" i="23"/>
  <c r="W41" i="23" s="1"/>
  <c r="X69" i="23"/>
  <c r="AB88" i="23"/>
  <c r="AA88" i="23"/>
  <c r="AB60" i="23"/>
  <c r="AA60" i="23" s="1"/>
  <c r="AA34" i="23" l="1"/>
  <c r="H98" i="24"/>
  <c r="H87" i="24"/>
  <c r="G87" i="24" s="1"/>
  <c r="O55" i="25"/>
  <c r="O53" i="23"/>
  <c r="P108" i="23"/>
  <c r="W89" i="23"/>
  <c r="L109" i="23"/>
  <c r="L110" i="23" s="1"/>
  <c r="L98" i="23"/>
  <c r="X49" i="25"/>
  <c r="AA49" i="25" s="1"/>
  <c r="AB50" i="25"/>
  <c r="S53" i="25"/>
  <c r="W82" i="25"/>
  <c r="T53" i="25"/>
  <c r="T109" i="25" s="1"/>
  <c r="T111" i="25" s="1"/>
  <c r="AB47" i="25"/>
  <c r="X45" i="25"/>
  <c r="AA45" i="25" s="1"/>
  <c r="X46" i="25"/>
  <c r="AA46" i="25" s="1"/>
  <c r="AA41" i="25"/>
  <c r="AB49" i="25"/>
  <c r="AB82" i="25"/>
  <c r="AA82" i="25" s="1"/>
  <c r="S55" i="25"/>
  <c r="O99" i="25"/>
  <c r="AB66" i="25"/>
  <c r="H112" i="25"/>
  <c r="K99" i="25"/>
  <c r="H101" i="25"/>
  <c r="H7" i="25"/>
  <c r="H15" i="25" s="1"/>
  <c r="G15" i="25" s="1"/>
  <c r="L112" i="25"/>
  <c r="L101" i="25"/>
  <c r="T55" i="25"/>
  <c r="T99" i="25" s="1"/>
  <c r="W66" i="24"/>
  <c r="AB30" i="24"/>
  <c r="AB47" i="24" s="1"/>
  <c r="AB66" i="24"/>
  <c r="AA66" i="24" s="1"/>
  <c r="X50" i="24"/>
  <c r="AA50" i="24" s="1"/>
  <c r="X47" i="24"/>
  <c r="AA47" i="24" s="1"/>
  <c r="X45" i="24"/>
  <c r="AA45" i="24" s="1"/>
  <c r="AA41" i="24"/>
  <c r="X49" i="24"/>
  <c r="AA49" i="24" s="1"/>
  <c r="X46" i="24"/>
  <c r="AA46" i="24" s="1"/>
  <c r="O55" i="24"/>
  <c r="L85" i="24"/>
  <c r="K85" i="24" s="1"/>
  <c r="H7" i="24"/>
  <c r="AB82" i="24"/>
  <c r="AA82" i="24" s="1"/>
  <c r="AA30" i="24"/>
  <c r="T53" i="24"/>
  <c r="W44" i="24"/>
  <c r="AB49" i="24"/>
  <c r="AB46" i="24"/>
  <c r="AB45" i="24"/>
  <c r="P55" i="24"/>
  <c r="S53" i="24"/>
  <c r="P95" i="24"/>
  <c r="P97" i="24" s="1"/>
  <c r="G13" i="23"/>
  <c r="H109" i="23"/>
  <c r="H110" i="23" s="1"/>
  <c r="H98" i="23"/>
  <c r="W69" i="23"/>
  <c r="AB69" i="23"/>
  <c r="AA69" i="23" s="1"/>
  <c r="K55" i="23"/>
  <c r="K13" i="23"/>
  <c r="S50" i="23"/>
  <c r="X45" i="23"/>
  <c r="W45" i="23" s="1"/>
  <c r="X49" i="23"/>
  <c r="X46" i="23"/>
  <c r="W46" i="23" s="1"/>
  <c r="X50" i="23"/>
  <c r="X47" i="23"/>
  <c r="AA41" i="23"/>
  <c r="P55" i="23"/>
  <c r="AB45" i="23"/>
  <c r="AB49" i="23"/>
  <c r="AB46" i="23"/>
  <c r="AB50" i="23"/>
  <c r="AB47" i="23"/>
  <c r="T53" i="23"/>
  <c r="AB89" i="23"/>
  <c r="H89" i="24" l="1"/>
  <c r="G89" i="24" s="1"/>
  <c r="AA89" i="23"/>
  <c r="S53" i="23"/>
  <c r="T108" i="23"/>
  <c r="W53" i="25"/>
  <c r="K98" i="23"/>
  <c r="L111" i="23"/>
  <c r="K101" i="25"/>
  <c r="G101" i="25"/>
  <c r="P112" i="25"/>
  <c r="P101" i="25"/>
  <c r="O101" i="25" s="1"/>
  <c r="W55" i="25"/>
  <c r="S99" i="25"/>
  <c r="H103" i="25"/>
  <c r="G103" i="25" s="1"/>
  <c r="AB50" i="24"/>
  <c r="W53" i="24"/>
  <c r="T55" i="24"/>
  <c r="T95" i="24"/>
  <c r="T97" i="24" s="1"/>
  <c r="L7" i="24"/>
  <c r="S55" i="24"/>
  <c r="P85" i="24"/>
  <c r="O85" i="24" s="1"/>
  <c r="L98" i="24"/>
  <c r="L87" i="24"/>
  <c r="G98" i="23"/>
  <c r="H111" i="23"/>
  <c r="AA50" i="23"/>
  <c r="AA49" i="23"/>
  <c r="AA47" i="23"/>
  <c r="AA45" i="23"/>
  <c r="W47" i="23"/>
  <c r="P13" i="23"/>
  <c r="O55" i="23"/>
  <c r="AA46" i="23"/>
  <c r="W49" i="23"/>
  <c r="W50" i="23"/>
  <c r="T55" i="23"/>
  <c r="T13" i="23" s="1"/>
  <c r="O13" i="23" l="1"/>
  <c r="P109" i="23"/>
  <c r="P110" i="23" s="1"/>
  <c r="P98" i="23"/>
  <c r="T109" i="23"/>
  <c r="T110" i="23" s="1"/>
  <c r="T98" i="23"/>
  <c r="T10" i="23" s="1"/>
  <c r="L7" i="25"/>
  <c r="T112" i="25"/>
  <c r="T101" i="25"/>
  <c r="K87" i="24"/>
  <c r="W55" i="24"/>
  <c r="T85" i="24"/>
  <c r="S85" i="24" s="1"/>
  <c r="L89" i="24"/>
  <c r="K89" i="24" s="1"/>
  <c r="P98" i="24"/>
  <c r="P87" i="24"/>
  <c r="S13" i="23"/>
  <c r="S55" i="23"/>
  <c r="L103" i="25" l="1"/>
  <c r="K103" i="25" s="1"/>
  <c r="L15" i="25"/>
  <c r="T111" i="23"/>
  <c r="W13" i="23"/>
  <c r="S98" i="23"/>
  <c r="O98" i="23"/>
  <c r="P111" i="23"/>
  <c r="S101" i="25"/>
  <c r="O87" i="24"/>
  <c r="T98" i="24"/>
  <c r="T87" i="24"/>
  <c r="P7" i="24"/>
  <c r="P89" i="24" s="1"/>
  <c r="O89" i="24" s="1"/>
  <c r="T11" i="23"/>
  <c r="T100" i="23" s="1"/>
  <c r="P7" i="25" l="1"/>
  <c r="P103" i="25" s="1"/>
  <c r="O103" i="25" s="1"/>
  <c r="K15" i="25"/>
  <c r="W100" i="23"/>
  <c r="S87" i="24"/>
  <c r="T7" i="24"/>
  <c r="T89" i="24" s="1"/>
  <c r="S89" i="24" s="1"/>
  <c r="T15" i="23"/>
  <c r="P15" i="25" l="1"/>
  <c r="T7" i="25"/>
  <c r="T103" i="25" s="1"/>
  <c r="S103" i="25" s="1"/>
  <c r="X7" i="24"/>
  <c r="S15" i="25" l="1"/>
  <c r="O15" i="25"/>
  <c r="X7" i="25"/>
  <c r="T69" i="21" l="1"/>
  <c r="T70" i="21"/>
  <c r="G70" i="21"/>
  <c r="H69" i="21"/>
  <c r="P9" i="21"/>
  <c r="T9" i="21" s="1"/>
  <c r="S9" i="21" s="1"/>
  <c r="L9" i="21"/>
  <c r="H9" i="21"/>
  <c r="AC81" i="21"/>
  <c r="Y81" i="21"/>
  <c r="U81" i="21"/>
  <c r="Q81" i="21"/>
  <c r="M81" i="21"/>
  <c r="I81" i="21"/>
  <c r="D81" i="21"/>
  <c r="AC80" i="21"/>
  <c r="Y80" i="21"/>
  <c r="U80" i="21"/>
  <c r="Q80" i="21"/>
  <c r="M80" i="21"/>
  <c r="I80" i="21"/>
  <c r="H80" i="21" s="1"/>
  <c r="G80" i="21"/>
  <c r="AC79" i="21"/>
  <c r="Y79" i="21"/>
  <c r="U79" i="21"/>
  <c r="Q79" i="21"/>
  <c r="M79" i="21"/>
  <c r="I79" i="21"/>
  <c r="H79" i="21" s="1"/>
  <c r="G79" i="21"/>
  <c r="AC78" i="21"/>
  <c r="Y78" i="21"/>
  <c r="U78" i="21"/>
  <c r="Q78" i="21"/>
  <c r="M78" i="21"/>
  <c r="I78" i="21"/>
  <c r="H78" i="21" s="1"/>
  <c r="G78" i="21"/>
  <c r="AC77" i="21"/>
  <c r="Y77" i="21"/>
  <c r="U77" i="21"/>
  <c r="Q77" i="21"/>
  <c r="M77" i="21"/>
  <c r="I77" i="21"/>
  <c r="H77" i="21" s="1"/>
  <c r="G77" i="21"/>
  <c r="AC76" i="21"/>
  <c r="Y76" i="21"/>
  <c r="U76" i="21"/>
  <c r="Q76" i="21"/>
  <c r="M76" i="21"/>
  <c r="I76" i="21"/>
  <c r="H76" i="21" s="1"/>
  <c r="G76" i="21"/>
  <c r="AC75" i="21"/>
  <c r="Y75" i="21"/>
  <c r="U75" i="21"/>
  <c r="Q75" i="21"/>
  <c r="M75" i="21"/>
  <c r="I75" i="21"/>
  <c r="H75" i="21" s="1"/>
  <c r="G75" i="21"/>
  <c r="AC74" i="21"/>
  <c r="Y74" i="21"/>
  <c r="U74" i="21"/>
  <c r="Q74" i="21"/>
  <c r="M74" i="21"/>
  <c r="I74" i="21"/>
  <c r="H74" i="21" s="1"/>
  <c r="G74" i="21"/>
  <c r="AC73" i="21"/>
  <c r="Y73" i="21"/>
  <c r="U73" i="21"/>
  <c r="Q73" i="21"/>
  <c r="M73" i="21"/>
  <c r="I73" i="21"/>
  <c r="H73" i="21" s="1"/>
  <c r="G73" i="21"/>
  <c r="AC72" i="21"/>
  <c r="Y72" i="21"/>
  <c r="U72" i="21"/>
  <c r="Q72" i="21"/>
  <c r="M72" i="21"/>
  <c r="I72" i="21"/>
  <c r="H72" i="21" s="1"/>
  <c r="G72" i="21"/>
  <c r="AC71" i="21"/>
  <c r="Y71" i="21"/>
  <c r="U71" i="21"/>
  <c r="Q71" i="21"/>
  <c r="M71" i="21"/>
  <c r="I71" i="21"/>
  <c r="H71" i="21" s="1"/>
  <c r="G71" i="21"/>
  <c r="AC70" i="21"/>
  <c r="Y70" i="21"/>
  <c r="AC69" i="21"/>
  <c r="Y69" i="21"/>
  <c r="G69" i="21"/>
  <c r="D66" i="21"/>
  <c r="AC65" i="21"/>
  <c r="Y65" i="21"/>
  <c r="U65" i="21"/>
  <c r="Q65" i="21"/>
  <c r="M65" i="21"/>
  <c r="I65" i="21"/>
  <c r="H65" i="21" s="1"/>
  <c r="G65" i="21"/>
  <c r="AC64" i="21"/>
  <c r="Y64" i="21"/>
  <c r="U64" i="21"/>
  <c r="Q64" i="21"/>
  <c r="M64" i="21"/>
  <c r="I64" i="21"/>
  <c r="H64" i="21" s="1"/>
  <c r="G64" i="21"/>
  <c r="AC63" i="21"/>
  <c r="Y63" i="21"/>
  <c r="U63" i="21"/>
  <c r="Q63" i="21"/>
  <c r="M63" i="21"/>
  <c r="I63" i="21"/>
  <c r="H63" i="21" s="1"/>
  <c r="G63" i="21"/>
  <c r="AC62" i="21"/>
  <c r="Y62" i="21"/>
  <c r="U62" i="21"/>
  <c r="Q62" i="21"/>
  <c r="M62" i="21"/>
  <c r="I62" i="21"/>
  <c r="H62" i="21" s="1"/>
  <c r="G62" i="21"/>
  <c r="AC61" i="21"/>
  <c r="Y61" i="21"/>
  <c r="U61" i="21"/>
  <c r="Q61" i="21"/>
  <c r="M61" i="21"/>
  <c r="I61" i="21"/>
  <c r="H61" i="21" s="1"/>
  <c r="G61" i="21"/>
  <c r="AC60" i="21"/>
  <c r="Y60" i="21"/>
  <c r="AC59" i="21"/>
  <c r="Y59" i="21"/>
  <c r="D53" i="21"/>
  <c r="G53" i="21" s="1"/>
  <c r="H52" i="21"/>
  <c r="K52" i="21" s="1"/>
  <c r="G52" i="21"/>
  <c r="L51" i="21"/>
  <c r="P51" i="21" s="1"/>
  <c r="H51" i="21"/>
  <c r="K51" i="21" s="1"/>
  <c r="G51" i="21"/>
  <c r="AC50" i="21"/>
  <c r="Y50" i="21"/>
  <c r="U50" i="21"/>
  <c r="Q50" i="21"/>
  <c r="M50" i="21"/>
  <c r="I50" i="21"/>
  <c r="G50" i="21"/>
  <c r="E50" i="21"/>
  <c r="AC49" i="21"/>
  <c r="Y49" i="21"/>
  <c r="U49" i="21"/>
  <c r="Q49" i="21"/>
  <c r="M49" i="21"/>
  <c r="I49" i="21"/>
  <c r="G49" i="21"/>
  <c r="E49" i="21"/>
  <c r="AC48" i="21"/>
  <c r="Y48" i="21"/>
  <c r="U48" i="21"/>
  <c r="Q48" i="21"/>
  <c r="M48" i="21"/>
  <c r="I48" i="21"/>
  <c r="H48" i="21" s="1"/>
  <c r="K48" i="21" s="1"/>
  <c r="G48" i="21"/>
  <c r="AC47" i="21"/>
  <c r="Y47" i="21"/>
  <c r="U47" i="21"/>
  <c r="Q47" i="21"/>
  <c r="M47" i="21"/>
  <c r="I47" i="21"/>
  <c r="G47" i="21"/>
  <c r="E47" i="21"/>
  <c r="AC46" i="21"/>
  <c r="Y46" i="21"/>
  <c r="U46" i="21"/>
  <c r="Q46" i="21"/>
  <c r="M46" i="21"/>
  <c r="I46" i="21"/>
  <c r="G46" i="21"/>
  <c r="E46" i="21"/>
  <c r="AC45" i="21"/>
  <c r="Y45" i="21"/>
  <c r="U45" i="21"/>
  <c r="Q45" i="21"/>
  <c r="M45" i="21"/>
  <c r="I45" i="21"/>
  <c r="G45" i="21"/>
  <c r="E45" i="21"/>
  <c r="U44" i="21"/>
  <c r="Q44" i="21"/>
  <c r="M44" i="21"/>
  <c r="I44" i="21"/>
  <c r="G44" i="21"/>
  <c r="E44" i="21"/>
  <c r="D41" i="21"/>
  <c r="G41" i="21" s="1"/>
  <c r="AC39" i="21"/>
  <c r="Y39" i="21"/>
  <c r="U39" i="21"/>
  <c r="Q39" i="21"/>
  <c r="M39" i="21"/>
  <c r="I39" i="21"/>
  <c r="H39" i="21"/>
  <c r="L39" i="21" s="1"/>
  <c r="P39" i="21" s="1"/>
  <c r="G39" i="21"/>
  <c r="AC38" i="21"/>
  <c r="Y38" i="21"/>
  <c r="U38" i="21"/>
  <c r="Q38" i="21"/>
  <c r="M38" i="21"/>
  <c r="L38" i="21"/>
  <c r="O38" i="21" s="1"/>
  <c r="I38" i="21"/>
  <c r="H38" i="21"/>
  <c r="K38" i="21" s="1"/>
  <c r="G38" i="21"/>
  <c r="AC37" i="21"/>
  <c r="Y37" i="21"/>
  <c r="U37" i="21"/>
  <c r="Q37" i="21"/>
  <c r="O37" i="21"/>
  <c r="M37" i="21"/>
  <c r="L37" i="21"/>
  <c r="P37" i="21" s="1"/>
  <c r="I37" i="21"/>
  <c r="H37" i="21"/>
  <c r="K37" i="21" s="1"/>
  <c r="G37" i="21"/>
  <c r="AC36" i="21"/>
  <c r="Y36" i="21"/>
  <c r="U36" i="21"/>
  <c r="Q36" i="21"/>
  <c r="M36" i="21"/>
  <c r="L36" i="21"/>
  <c r="O36" i="21" s="1"/>
  <c r="I36" i="21"/>
  <c r="H36" i="21"/>
  <c r="K36" i="21" s="1"/>
  <c r="G36" i="21"/>
  <c r="AC35" i="21"/>
  <c r="Y35" i="21"/>
  <c r="U35" i="21"/>
  <c r="Q35" i="21"/>
  <c r="P35" i="21"/>
  <c r="S35" i="21" s="1"/>
  <c r="M35" i="21"/>
  <c r="L35" i="21"/>
  <c r="O35" i="21" s="1"/>
  <c r="I35" i="21"/>
  <c r="H35" i="21"/>
  <c r="K35" i="21" s="1"/>
  <c r="G35" i="21"/>
  <c r="AC34" i="21"/>
  <c r="Y34" i="21"/>
  <c r="U34" i="21"/>
  <c r="Q34" i="21"/>
  <c r="M34" i="21"/>
  <c r="L34" i="21"/>
  <c r="O34" i="21" s="1"/>
  <c r="I34" i="21"/>
  <c r="H34" i="21"/>
  <c r="H41" i="21" s="1"/>
  <c r="G34" i="21"/>
  <c r="AC33" i="21"/>
  <c r="Y33" i="21"/>
  <c r="U33" i="21"/>
  <c r="Q33" i="21"/>
  <c r="O33" i="21"/>
  <c r="M33" i="21"/>
  <c r="L33" i="21"/>
  <c r="I33" i="21"/>
  <c r="H33" i="21"/>
  <c r="K33" i="21" s="1"/>
  <c r="G33" i="21"/>
  <c r="D30" i="21"/>
  <c r="G30" i="21" s="1"/>
  <c r="AC28" i="21"/>
  <c r="Y28" i="21"/>
  <c r="U28" i="21"/>
  <c r="Q28" i="21"/>
  <c r="M28" i="21"/>
  <c r="I28" i="21"/>
  <c r="H28" i="21"/>
  <c r="G28" i="21"/>
  <c r="AC27" i="21"/>
  <c r="Y27" i="21"/>
  <c r="U27" i="21"/>
  <c r="Q27" i="21"/>
  <c r="P27" i="21"/>
  <c r="M27" i="21"/>
  <c r="L27" i="21"/>
  <c r="O27" i="21" s="1"/>
  <c r="I27" i="21"/>
  <c r="H27" i="21"/>
  <c r="K27" i="21" s="1"/>
  <c r="G27" i="21"/>
  <c r="AC26" i="21"/>
  <c r="Y26" i="21"/>
  <c r="U26" i="21"/>
  <c r="Q26" i="21"/>
  <c r="M26" i="21"/>
  <c r="I26" i="21"/>
  <c r="H26" i="21"/>
  <c r="G26" i="21"/>
  <c r="AC25" i="21"/>
  <c r="Y25" i="21"/>
  <c r="U25" i="21"/>
  <c r="Q25" i="21"/>
  <c r="M25" i="21"/>
  <c r="L25" i="21"/>
  <c r="O25" i="21" s="1"/>
  <c r="I25" i="21"/>
  <c r="H25" i="21"/>
  <c r="K25" i="21" s="1"/>
  <c r="G25" i="21"/>
  <c r="AC24" i="21"/>
  <c r="Y24" i="21"/>
  <c r="U24" i="21"/>
  <c r="Q24" i="21"/>
  <c r="M24" i="21"/>
  <c r="I24" i="21"/>
  <c r="H24" i="21"/>
  <c r="G24" i="21"/>
  <c r="AC23" i="21"/>
  <c r="Y23" i="21"/>
  <c r="U23" i="21"/>
  <c r="Q23" i="21"/>
  <c r="M23" i="21"/>
  <c r="K23" i="21"/>
  <c r="I23" i="21"/>
  <c r="H23" i="21"/>
  <c r="L23" i="21" s="1"/>
  <c r="G23" i="21"/>
  <c r="AC22" i="21"/>
  <c r="Y22" i="21"/>
  <c r="U22" i="21"/>
  <c r="Q22" i="21"/>
  <c r="M22" i="21"/>
  <c r="I22" i="21"/>
  <c r="H22" i="21"/>
  <c r="G22" i="21"/>
  <c r="AC21" i="21"/>
  <c r="Y21" i="21"/>
  <c r="U21" i="21"/>
  <c r="Q21" i="21"/>
  <c r="M21" i="21"/>
  <c r="I21" i="21"/>
  <c r="H21" i="21"/>
  <c r="H30" i="21" s="1"/>
  <c r="G21" i="21"/>
  <c r="D11" i="21"/>
  <c r="AB10" i="21"/>
  <c r="AA10" i="21"/>
  <c r="X10" i="21"/>
  <c r="T10" i="21"/>
  <c r="W10" i="21" s="1"/>
  <c r="P10" i="21"/>
  <c r="G10" i="21"/>
  <c r="AB9" i="21"/>
  <c r="AB11" i="21" s="1"/>
  <c r="L6" i="21"/>
  <c r="P6" i="21" s="1"/>
  <c r="T6" i="21" s="1"/>
  <c r="X6" i="21" s="1"/>
  <c r="AB6" i="21" s="1"/>
  <c r="H6" i="21"/>
  <c r="AB3" i="21"/>
  <c r="X3" i="21"/>
  <c r="X9" i="21" s="1"/>
  <c r="T3" i="21"/>
  <c r="P3" i="21"/>
  <c r="L3" i="21"/>
  <c r="H3" i="21"/>
  <c r="D3" i="21"/>
  <c r="AC77" i="20"/>
  <c r="Y77" i="20"/>
  <c r="U77" i="20"/>
  <c r="Q77" i="20"/>
  <c r="M77" i="20"/>
  <c r="I77" i="20"/>
  <c r="H77" i="20" s="1"/>
  <c r="D77" i="20"/>
  <c r="G77" i="20" s="1"/>
  <c r="AC76" i="20"/>
  <c r="Y76" i="20"/>
  <c r="U76" i="20"/>
  <c r="Q76" i="20"/>
  <c r="M76" i="20"/>
  <c r="I76" i="20"/>
  <c r="H76" i="20" s="1"/>
  <c r="G76" i="20"/>
  <c r="AC75" i="20"/>
  <c r="Y75" i="20"/>
  <c r="U75" i="20"/>
  <c r="Q75" i="20"/>
  <c r="M75" i="20"/>
  <c r="I75" i="20"/>
  <c r="H75" i="20" s="1"/>
  <c r="G75" i="20"/>
  <c r="AC74" i="20"/>
  <c r="Y74" i="20"/>
  <c r="U74" i="20"/>
  <c r="Q74" i="20"/>
  <c r="M74" i="20"/>
  <c r="I74" i="20"/>
  <c r="H74" i="20" s="1"/>
  <c r="G74" i="20"/>
  <c r="AC73" i="20"/>
  <c r="Y73" i="20"/>
  <c r="U73" i="20"/>
  <c r="Q73" i="20"/>
  <c r="M73" i="20"/>
  <c r="I73" i="20"/>
  <c r="H73" i="20" s="1"/>
  <c r="G73" i="20"/>
  <c r="AC72" i="20"/>
  <c r="Y72" i="20"/>
  <c r="U72" i="20"/>
  <c r="Q72" i="20"/>
  <c r="M72" i="20"/>
  <c r="I72" i="20"/>
  <c r="H72" i="20" s="1"/>
  <c r="G72" i="20"/>
  <c r="AC71" i="20"/>
  <c r="Y71" i="20"/>
  <c r="U71" i="20"/>
  <c r="Q71" i="20"/>
  <c r="M71" i="20"/>
  <c r="I71" i="20"/>
  <c r="H71" i="20" s="1"/>
  <c r="G71" i="20"/>
  <c r="AC70" i="20"/>
  <c r="Y70" i="20"/>
  <c r="U70" i="20"/>
  <c r="Q70" i="20"/>
  <c r="M70" i="20"/>
  <c r="I70" i="20"/>
  <c r="H70" i="20" s="1"/>
  <c r="G70" i="20"/>
  <c r="AC69" i="20"/>
  <c r="Y69" i="20"/>
  <c r="U69" i="20"/>
  <c r="Q69" i="20"/>
  <c r="M69" i="20"/>
  <c r="I69" i="20"/>
  <c r="H69" i="20" s="1"/>
  <c r="G69" i="20"/>
  <c r="AC68" i="20"/>
  <c r="Y68" i="20"/>
  <c r="U68" i="20"/>
  <c r="Q68" i="20"/>
  <c r="M68" i="20"/>
  <c r="I68" i="20"/>
  <c r="H68" i="20" s="1"/>
  <c r="G68" i="20"/>
  <c r="AC67" i="20"/>
  <c r="Y67" i="20"/>
  <c r="U67" i="20"/>
  <c r="Q67" i="20"/>
  <c r="M67" i="20"/>
  <c r="I67" i="20"/>
  <c r="H67" i="20" s="1"/>
  <c r="G67" i="20"/>
  <c r="AC66" i="20"/>
  <c r="Y66" i="20"/>
  <c r="U66" i="20"/>
  <c r="Q66" i="20"/>
  <c r="M66" i="20"/>
  <c r="I66" i="20"/>
  <c r="H66" i="20" s="1"/>
  <c r="G66" i="20"/>
  <c r="AC65" i="20"/>
  <c r="Y65" i="20"/>
  <c r="U65" i="20"/>
  <c r="Q65" i="20"/>
  <c r="M65" i="20"/>
  <c r="I65" i="20"/>
  <c r="H65" i="20" s="1"/>
  <c r="G65" i="20"/>
  <c r="D62" i="20"/>
  <c r="F43" i="27" s="1"/>
  <c r="F43" i="28" s="1"/>
  <c r="N43" i="28" s="1"/>
  <c r="G60" i="20"/>
  <c r="G59" i="20"/>
  <c r="D53" i="20"/>
  <c r="G53" i="20" s="1"/>
  <c r="H52" i="20"/>
  <c r="K52" i="20" s="1"/>
  <c r="G52" i="20"/>
  <c r="H51" i="20"/>
  <c r="K51" i="20" s="1"/>
  <c r="G51" i="20"/>
  <c r="AC50" i="20"/>
  <c r="Y50" i="20"/>
  <c r="U50" i="20"/>
  <c r="Q50" i="20"/>
  <c r="M50" i="20"/>
  <c r="I50" i="20"/>
  <c r="G50" i="20"/>
  <c r="E50" i="20"/>
  <c r="AC49" i="20"/>
  <c r="Y49" i="20"/>
  <c r="U49" i="20"/>
  <c r="Q49" i="20"/>
  <c r="M49" i="20"/>
  <c r="I49" i="20"/>
  <c r="G49" i="20"/>
  <c r="E49" i="20"/>
  <c r="AC48" i="20"/>
  <c r="Y48" i="20"/>
  <c r="U48" i="20"/>
  <c r="Q48" i="20"/>
  <c r="M48" i="20"/>
  <c r="I48" i="20"/>
  <c r="H48" i="20" s="1"/>
  <c r="G48" i="20"/>
  <c r="AC47" i="20"/>
  <c r="Y47" i="20"/>
  <c r="U47" i="20"/>
  <c r="Q47" i="20"/>
  <c r="M47" i="20"/>
  <c r="I47" i="20"/>
  <c r="G47" i="20"/>
  <c r="E47" i="20"/>
  <c r="AC46" i="20"/>
  <c r="Y46" i="20"/>
  <c r="U46" i="20"/>
  <c r="Q46" i="20"/>
  <c r="M46" i="20"/>
  <c r="I46" i="20"/>
  <c r="G46" i="20"/>
  <c r="E46" i="20"/>
  <c r="AC45" i="20"/>
  <c r="Y45" i="20"/>
  <c r="U45" i="20"/>
  <c r="Q45" i="20"/>
  <c r="M45" i="20"/>
  <c r="I45" i="20"/>
  <c r="G45" i="20"/>
  <c r="E45" i="20"/>
  <c r="U44" i="20"/>
  <c r="Q44" i="20"/>
  <c r="M44" i="20"/>
  <c r="I44" i="20"/>
  <c r="G44" i="20"/>
  <c r="E44" i="20"/>
  <c r="D41" i="20"/>
  <c r="G41" i="20" s="1"/>
  <c r="AC39" i="20"/>
  <c r="Y39" i="20"/>
  <c r="U39" i="20"/>
  <c r="Q39" i="20"/>
  <c r="M39" i="20"/>
  <c r="I39" i="20"/>
  <c r="H39" i="20"/>
  <c r="G39" i="20"/>
  <c r="AC38" i="20"/>
  <c r="Y38" i="20"/>
  <c r="U38" i="20"/>
  <c r="Q38" i="20"/>
  <c r="M38" i="20"/>
  <c r="I38" i="20"/>
  <c r="H38" i="20"/>
  <c r="L38" i="20" s="1"/>
  <c r="O38" i="20" s="1"/>
  <c r="G38" i="20"/>
  <c r="AC37" i="20"/>
  <c r="Y37" i="20"/>
  <c r="U37" i="20"/>
  <c r="Q37" i="20"/>
  <c r="M37" i="20"/>
  <c r="I37" i="20"/>
  <c r="H37" i="20"/>
  <c r="G37" i="20"/>
  <c r="AC36" i="20"/>
  <c r="Y36" i="20"/>
  <c r="U36" i="20"/>
  <c r="Q36" i="20"/>
  <c r="M36" i="20"/>
  <c r="I36" i="20"/>
  <c r="H36" i="20"/>
  <c r="L36" i="20" s="1"/>
  <c r="O36" i="20" s="1"/>
  <c r="G36" i="20"/>
  <c r="AC35" i="20"/>
  <c r="Y35" i="20"/>
  <c r="U35" i="20"/>
  <c r="Q35" i="20"/>
  <c r="M35" i="20"/>
  <c r="I35" i="20"/>
  <c r="H35" i="20"/>
  <c r="L35" i="20" s="1"/>
  <c r="O35" i="20" s="1"/>
  <c r="G35" i="20"/>
  <c r="AC34" i="20"/>
  <c r="Y34" i="20"/>
  <c r="U34" i="20"/>
  <c r="Q34" i="20"/>
  <c r="M34" i="20"/>
  <c r="I34" i="20"/>
  <c r="H34" i="20"/>
  <c r="K34" i="20" s="1"/>
  <c r="G34" i="20"/>
  <c r="AC33" i="20"/>
  <c r="Y33" i="20"/>
  <c r="U33" i="20"/>
  <c r="Q33" i="20"/>
  <c r="M33" i="20"/>
  <c r="I33" i="20"/>
  <c r="H33" i="20"/>
  <c r="K33" i="20" s="1"/>
  <c r="G33" i="20"/>
  <c r="D30" i="20"/>
  <c r="G30" i="20" s="1"/>
  <c r="AC28" i="20"/>
  <c r="Y28" i="20"/>
  <c r="U28" i="20"/>
  <c r="Q28" i="20"/>
  <c r="M28" i="20"/>
  <c r="I28" i="20"/>
  <c r="H28" i="20"/>
  <c r="K28" i="20" s="1"/>
  <c r="G28" i="20"/>
  <c r="AC27" i="20"/>
  <c r="Y27" i="20"/>
  <c r="U27" i="20"/>
  <c r="Q27" i="20"/>
  <c r="M27" i="20"/>
  <c r="I27" i="20"/>
  <c r="H27" i="20"/>
  <c r="L27" i="20" s="1"/>
  <c r="G27" i="20"/>
  <c r="AC26" i="20"/>
  <c r="Y26" i="20"/>
  <c r="U26" i="20"/>
  <c r="Q26" i="20"/>
  <c r="M26" i="20"/>
  <c r="I26" i="20"/>
  <c r="H26" i="20"/>
  <c r="K26" i="20" s="1"/>
  <c r="G26" i="20"/>
  <c r="AC25" i="20"/>
  <c r="Y25" i="20"/>
  <c r="U25" i="20"/>
  <c r="Q25" i="20"/>
  <c r="M25" i="20"/>
  <c r="I25" i="20"/>
  <c r="H25" i="20"/>
  <c r="K25" i="20" s="1"/>
  <c r="G25" i="20"/>
  <c r="AC24" i="20"/>
  <c r="Y24" i="20"/>
  <c r="U24" i="20"/>
  <c r="Q24" i="20"/>
  <c r="M24" i="20"/>
  <c r="I24" i="20"/>
  <c r="H24" i="20"/>
  <c r="K24" i="20" s="1"/>
  <c r="G24" i="20"/>
  <c r="AC23" i="20"/>
  <c r="Y23" i="20"/>
  <c r="U23" i="20"/>
  <c r="Q23" i="20"/>
  <c r="M23" i="20"/>
  <c r="I23" i="20"/>
  <c r="H23" i="20"/>
  <c r="L23" i="20" s="1"/>
  <c r="G23" i="20"/>
  <c r="AC22" i="20"/>
  <c r="Y22" i="20"/>
  <c r="U22" i="20"/>
  <c r="Q22" i="20"/>
  <c r="M22" i="20"/>
  <c r="I22" i="20"/>
  <c r="H22" i="20"/>
  <c r="K22" i="20" s="1"/>
  <c r="G22" i="20"/>
  <c r="AC21" i="20"/>
  <c r="Y21" i="20"/>
  <c r="U21" i="20"/>
  <c r="Q21" i="20"/>
  <c r="M21" i="20"/>
  <c r="I21" i="20"/>
  <c r="H21" i="20"/>
  <c r="L21" i="20" s="1"/>
  <c r="O21" i="20" s="1"/>
  <c r="G21" i="20"/>
  <c r="G10" i="20"/>
  <c r="D11" i="20"/>
  <c r="H6" i="20"/>
  <c r="L6" i="20" s="1"/>
  <c r="P6" i="20" s="1"/>
  <c r="T6" i="20" s="1"/>
  <c r="X6" i="20" s="1"/>
  <c r="AB6" i="20" s="1"/>
  <c r="AB3" i="20"/>
  <c r="X3" i="20"/>
  <c r="T3" i="20"/>
  <c r="AB13" i="19"/>
  <c r="AC81" i="19"/>
  <c r="Y81" i="19"/>
  <c r="U81" i="19"/>
  <c r="Q81" i="19"/>
  <c r="M81" i="19"/>
  <c r="I81" i="19"/>
  <c r="G81" i="19"/>
  <c r="D81" i="19"/>
  <c r="AC80" i="19"/>
  <c r="Y80" i="19"/>
  <c r="U80" i="19"/>
  <c r="Q80" i="19"/>
  <c r="M80" i="19"/>
  <c r="I80" i="19"/>
  <c r="H80" i="19" s="1"/>
  <c r="G80" i="19"/>
  <c r="AC79" i="19"/>
  <c r="Y79" i="19"/>
  <c r="U79" i="19"/>
  <c r="Q79" i="19"/>
  <c r="M79" i="19"/>
  <c r="I79" i="19"/>
  <c r="H79" i="19" s="1"/>
  <c r="G79" i="19"/>
  <c r="AC78" i="19"/>
  <c r="Y78" i="19"/>
  <c r="U78" i="19"/>
  <c r="Q78" i="19"/>
  <c r="M78" i="19"/>
  <c r="I78" i="19"/>
  <c r="H78" i="19" s="1"/>
  <c r="G78" i="19"/>
  <c r="AC77" i="19"/>
  <c r="Y77" i="19"/>
  <c r="U77" i="19"/>
  <c r="Q77" i="19"/>
  <c r="M77" i="19"/>
  <c r="I77" i="19"/>
  <c r="H77" i="19" s="1"/>
  <c r="G77" i="19"/>
  <c r="AC76" i="19"/>
  <c r="Y76" i="19"/>
  <c r="U76" i="19"/>
  <c r="Q76" i="19"/>
  <c r="M76" i="19"/>
  <c r="I76" i="19"/>
  <c r="H76" i="19" s="1"/>
  <c r="G76" i="19"/>
  <c r="AC75" i="19"/>
  <c r="Y75" i="19"/>
  <c r="U75" i="19"/>
  <c r="Q75" i="19"/>
  <c r="M75" i="19"/>
  <c r="I75" i="19"/>
  <c r="H75" i="19" s="1"/>
  <c r="G75" i="19"/>
  <c r="AC74" i="19"/>
  <c r="Y74" i="19"/>
  <c r="U74" i="19"/>
  <c r="Q74" i="19"/>
  <c r="M74" i="19"/>
  <c r="I74" i="19"/>
  <c r="H74" i="19" s="1"/>
  <c r="G74" i="19"/>
  <c r="AC73" i="19"/>
  <c r="Y73" i="19"/>
  <c r="U73" i="19"/>
  <c r="Q73" i="19"/>
  <c r="M73" i="19"/>
  <c r="I73" i="19"/>
  <c r="H73" i="19" s="1"/>
  <c r="G73" i="19"/>
  <c r="AC72" i="19"/>
  <c r="Y72" i="19"/>
  <c r="U72" i="19"/>
  <c r="Q72" i="19"/>
  <c r="M72" i="19"/>
  <c r="I72" i="19"/>
  <c r="H72" i="19" s="1"/>
  <c r="G72" i="19"/>
  <c r="AC71" i="19"/>
  <c r="Y71" i="19"/>
  <c r="U71" i="19"/>
  <c r="Q71" i="19"/>
  <c r="G71" i="19"/>
  <c r="AC70" i="19"/>
  <c r="Y70" i="19"/>
  <c r="U70" i="19"/>
  <c r="Q70" i="19"/>
  <c r="G70" i="19"/>
  <c r="AC69" i="19"/>
  <c r="Y69" i="19"/>
  <c r="U69" i="19"/>
  <c r="Q69" i="19"/>
  <c r="G69" i="19"/>
  <c r="D66" i="19"/>
  <c r="G66" i="19" s="1"/>
  <c r="AC65" i="19"/>
  <c r="Y65" i="19"/>
  <c r="U65" i="19"/>
  <c r="Q65" i="19"/>
  <c r="M65" i="19"/>
  <c r="I65" i="19"/>
  <c r="H65" i="19" s="1"/>
  <c r="G65" i="19"/>
  <c r="AC64" i="19"/>
  <c r="Y64" i="19"/>
  <c r="U64" i="19"/>
  <c r="Q64" i="19"/>
  <c r="M64" i="19"/>
  <c r="I64" i="19"/>
  <c r="H64" i="19" s="1"/>
  <c r="G64" i="19"/>
  <c r="AC63" i="19"/>
  <c r="Y63" i="19"/>
  <c r="U63" i="19"/>
  <c r="Q63" i="19"/>
  <c r="M63" i="19"/>
  <c r="I63" i="19"/>
  <c r="H63" i="19" s="1"/>
  <c r="K63" i="19" s="1"/>
  <c r="G63" i="19"/>
  <c r="AC62" i="19"/>
  <c r="Y62" i="19"/>
  <c r="U62" i="19"/>
  <c r="Q62" i="19"/>
  <c r="M62" i="19"/>
  <c r="I62" i="19"/>
  <c r="H62" i="19" s="1"/>
  <c r="G62" i="19"/>
  <c r="AC61" i="19"/>
  <c r="Y61" i="19"/>
  <c r="U61" i="19"/>
  <c r="Q61" i="19"/>
  <c r="M61" i="19"/>
  <c r="I61" i="19"/>
  <c r="H61" i="19" s="1"/>
  <c r="K61" i="19" s="1"/>
  <c r="G61" i="19"/>
  <c r="AC60" i="19"/>
  <c r="Y60" i="19"/>
  <c r="U60" i="19"/>
  <c r="Q60" i="19"/>
  <c r="M60" i="19"/>
  <c r="I60" i="19"/>
  <c r="H60" i="19" s="1"/>
  <c r="G60" i="19"/>
  <c r="AC59" i="19"/>
  <c r="Y59" i="19"/>
  <c r="U59" i="19"/>
  <c r="Q59" i="19"/>
  <c r="M59" i="19"/>
  <c r="I59" i="19"/>
  <c r="H59" i="19" s="1"/>
  <c r="K59" i="19" s="1"/>
  <c r="G59" i="19"/>
  <c r="D53" i="19"/>
  <c r="AC50" i="19"/>
  <c r="Y50" i="19"/>
  <c r="U50" i="19"/>
  <c r="Q50" i="19"/>
  <c r="M50" i="19"/>
  <c r="I50" i="19"/>
  <c r="E50" i="19"/>
  <c r="AC49" i="19"/>
  <c r="Y49" i="19"/>
  <c r="U49" i="19"/>
  <c r="Q49" i="19"/>
  <c r="M49" i="19"/>
  <c r="I49" i="19"/>
  <c r="E49" i="19"/>
  <c r="AC48" i="19"/>
  <c r="Y48" i="19"/>
  <c r="U48" i="19"/>
  <c r="Q48" i="19"/>
  <c r="M48" i="19"/>
  <c r="G48" i="19"/>
  <c r="AC47" i="19"/>
  <c r="Y47" i="19"/>
  <c r="U47" i="19"/>
  <c r="Q47" i="19"/>
  <c r="M47" i="19"/>
  <c r="I47" i="19"/>
  <c r="E47" i="19"/>
  <c r="AC46" i="19"/>
  <c r="Y46" i="19"/>
  <c r="U46" i="19"/>
  <c r="Q46" i="19"/>
  <c r="M46" i="19"/>
  <c r="L46" i="19" s="1"/>
  <c r="I46" i="19"/>
  <c r="E46" i="19"/>
  <c r="AC45" i="19"/>
  <c r="Y45" i="19"/>
  <c r="U45" i="19"/>
  <c r="Q45" i="19"/>
  <c r="M45" i="19"/>
  <c r="I45" i="19"/>
  <c r="G45" i="19"/>
  <c r="E45" i="19"/>
  <c r="U44" i="19"/>
  <c r="Q44" i="19"/>
  <c r="M44" i="19"/>
  <c r="I44" i="19"/>
  <c r="E44" i="19"/>
  <c r="D41" i="19"/>
  <c r="AC39" i="19"/>
  <c r="Y39" i="19"/>
  <c r="U39" i="19"/>
  <c r="Q39" i="19"/>
  <c r="M39" i="19"/>
  <c r="I39" i="19"/>
  <c r="H39" i="19"/>
  <c r="K39" i="19" s="1"/>
  <c r="G39" i="19"/>
  <c r="AC38" i="19"/>
  <c r="Y38" i="19"/>
  <c r="U38" i="19"/>
  <c r="Q38" i="19"/>
  <c r="M38" i="19"/>
  <c r="I38" i="19"/>
  <c r="H38" i="19"/>
  <c r="K38" i="19" s="1"/>
  <c r="G38" i="19"/>
  <c r="AC37" i="19"/>
  <c r="Y37" i="19"/>
  <c r="U37" i="19"/>
  <c r="Q37" i="19"/>
  <c r="M37" i="19"/>
  <c r="K37" i="19"/>
  <c r="I37" i="19"/>
  <c r="H37" i="19"/>
  <c r="L37" i="19" s="1"/>
  <c r="G37" i="19"/>
  <c r="AC36" i="19"/>
  <c r="Y36" i="19"/>
  <c r="U36" i="19"/>
  <c r="Q36" i="19"/>
  <c r="M36" i="19"/>
  <c r="I36" i="19"/>
  <c r="H36" i="19"/>
  <c r="K36" i="19" s="1"/>
  <c r="G36" i="19"/>
  <c r="AC35" i="19"/>
  <c r="Y35" i="19"/>
  <c r="U35" i="19"/>
  <c r="Q35" i="19"/>
  <c r="M35" i="19"/>
  <c r="I35" i="19"/>
  <c r="H35" i="19"/>
  <c r="K35" i="19" s="1"/>
  <c r="G35" i="19"/>
  <c r="AC34" i="19"/>
  <c r="Y34" i="19"/>
  <c r="U34" i="19"/>
  <c r="Q34" i="19"/>
  <c r="M34" i="19"/>
  <c r="I34" i="19"/>
  <c r="H34" i="19"/>
  <c r="L34" i="19" s="1"/>
  <c r="P34" i="19" s="1"/>
  <c r="T34" i="19" s="1"/>
  <c r="G34" i="19"/>
  <c r="AC33" i="19"/>
  <c r="Y33" i="19"/>
  <c r="U33" i="19"/>
  <c r="Q33" i="19"/>
  <c r="M33" i="19"/>
  <c r="I33" i="19"/>
  <c r="H33" i="19"/>
  <c r="K33" i="19" s="1"/>
  <c r="G33" i="19"/>
  <c r="D30" i="19"/>
  <c r="AC28" i="19"/>
  <c r="Y28" i="19"/>
  <c r="U28" i="19"/>
  <c r="Q28" i="19"/>
  <c r="M28" i="19"/>
  <c r="I28" i="19"/>
  <c r="H28" i="19"/>
  <c r="L28" i="19" s="1"/>
  <c r="O28" i="19" s="1"/>
  <c r="G28" i="19"/>
  <c r="AC27" i="19"/>
  <c r="Y27" i="19"/>
  <c r="U27" i="19"/>
  <c r="Q27" i="19"/>
  <c r="M27" i="19"/>
  <c r="I27" i="19"/>
  <c r="H27" i="19"/>
  <c r="K27" i="19" s="1"/>
  <c r="G27" i="19"/>
  <c r="AC26" i="19"/>
  <c r="Y26" i="19"/>
  <c r="U26" i="19"/>
  <c r="Q26" i="19"/>
  <c r="M26" i="19"/>
  <c r="I26" i="19"/>
  <c r="H26" i="19"/>
  <c r="L26" i="19" s="1"/>
  <c r="O26" i="19" s="1"/>
  <c r="G26" i="19"/>
  <c r="AC25" i="19"/>
  <c r="Y25" i="19"/>
  <c r="U25" i="19"/>
  <c r="Q25" i="19"/>
  <c r="M25" i="19"/>
  <c r="K25" i="19"/>
  <c r="I25" i="19"/>
  <c r="H25" i="19"/>
  <c r="L25" i="19" s="1"/>
  <c r="O25" i="19" s="1"/>
  <c r="G25" i="19"/>
  <c r="AC24" i="19"/>
  <c r="Y24" i="19"/>
  <c r="U24" i="19"/>
  <c r="Q24" i="19"/>
  <c r="M24" i="19"/>
  <c r="I24" i="19"/>
  <c r="H24" i="19"/>
  <c r="L24" i="19" s="1"/>
  <c r="O24" i="19" s="1"/>
  <c r="G24" i="19"/>
  <c r="AC23" i="19"/>
  <c r="Y23" i="19"/>
  <c r="U23" i="19"/>
  <c r="Q23" i="19"/>
  <c r="M23" i="19"/>
  <c r="L23" i="19"/>
  <c r="O23" i="19" s="1"/>
  <c r="I23" i="19"/>
  <c r="H23" i="19"/>
  <c r="K23" i="19" s="1"/>
  <c r="G23" i="19"/>
  <c r="AC22" i="19"/>
  <c r="Y22" i="19"/>
  <c r="U22" i="19"/>
  <c r="P22" i="19"/>
  <c r="AC21" i="19"/>
  <c r="Y21" i="19"/>
  <c r="U21" i="19"/>
  <c r="H30" i="19"/>
  <c r="AB10" i="19"/>
  <c r="X10" i="19"/>
  <c r="AA10" i="19" s="1"/>
  <c r="T10" i="19"/>
  <c r="W10" i="19" s="1"/>
  <c r="P10" i="19"/>
  <c r="S10" i="19" s="1"/>
  <c r="L10" i="19"/>
  <c r="O10" i="19" s="1"/>
  <c r="K10" i="19"/>
  <c r="G10" i="19"/>
  <c r="T9" i="19"/>
  <c r="W9" i="19" s="1"/>
  <c r="D9" i="19"/>
  <c r="H6" i="19"/>
  <c r="L6" i="19" s="1"/>
  <c r="P6" i="19" s="1"/>
  <c r="T6" i="19" s="1"/>
  <c r="X6" i="19" s="1"/>
  <c r="AB6" i="19" s="1"/>
  <c r="AB3" i="19"/>
  <c r="AB9" i="19" s="1"/>
  <c r="AB11" i="19" s="1"/>
  <c r="X3" i="19"/>
  <c r="X9" i="19" s="1"/>
  <c r="T3" i="19"/>
  <c r="P9" i="19"/>
  <c r="L9" i="19"/>
  <c r="H8" i="27" s="1"/>
  <c r="H8" i="28" s="1"/>
  <c r="P8" i="28" s="1"/>
  <c r="H9" i="19"/>
  <c r="AC81" i="18"/>
  <c r="Y81" i="18"/>
  <c r="U81" i="18"/>
  <c r="Q81" i="18"/>
  <c r="M81" i="18"/>
  <c r="I81" i="18"/>
  <c r="H81" i="18" s="1"/>
  <c r="D81" i="18"/>
  <c r="G81" i="18" s="1"/>
  <c r="AC80" i="18"/>
  <c r="Y80" i="18"/>
  <c r="U80" i="18"/>
  <c r="Q80" i="18"/>
  <c r="M80" i="18"/>
  <c r="I80" i="18"/>
  <c r="H80" i="18" s="1"/>
  <c r="G80" i="18"/>
  <c r="AC79" i="18"/>
  <c r="Y79" i="18"/>
  <c r="U79" i="18"/>
  <c r="Q79" i="18"/>
  <c r="M79" i="18"/>
  <c r="I79" i="18"/>
  <c r="H79" i="18" s="1"/>
  <c r="G79" i="18"/>
  <c r="AC78" i="18"/>
  <c r="Y78" i="18"/>
  <c r="U78" i="18"/>
  <c r="Q78" i="18"/>
  <c r="M78" i="18"/>
  <c r="I78" i="18"/>
  <c r="H78" i="18" s="1"/>
  <c r="G78" i="18"/>
  <c r="AC77" i="18"/>
  <c r="Y77" i="18"/>
  <c r="U77" i="18"/>
  <c r="Q77" i="18"/>
  <c r="M77" i="18"/>
  <c r="I77" i="18"/>
  <c r="H77" i="18" s="1"/>
  <c r="G77" i="18"/>
  <c r="AC76" i="18"/>
  <c r="Y76" i="18"/>
  <c r="U76" i="18"/>
  <c r="Q76" i="18"/>
  <c r="M76" i="18"/>
  <c r="I76" i="18"/>
  <c r="H76" i="18" s="1"/>
  <c r="G76" i="18"/>
  <c r="AC75" i="18"/>
  <c r="Y75" i="18"/>
  <c r="U75" i="18"/>
  <c r="Q75" i="18"/>
  <c r="M75" i="18"/>
  <c r="I75" i="18"/>
  <c r="H75" i="18" s="1"/>
  <c r="G75" i="18"/>
  <c r="AC74" i="18"/>
  <c r="Y74" i="18"/>
  <c r="U74" i="18"/>
  <c r="Q74" i="18"/>
  <c r="M74" i="18"/>
  <c r="I74" i="18"/>
  <c r="H74" i="18" s="1"/>
  <c r="G74" i="18"/>
  <c r="AC73" i="18"/>
  <c r="Y73" i="18"/>
  <c r="U73" i="18"/>
  <c r="Q73" i="18"/>
  <c r="M73" i="18"/>
  <c r="I73" i="18"/>
  <c r="H73" i="18" s="1"/>
  <c r="G73" i="18"/>
  <c r="AC72" i="18"/>
  <c r="Y72" i="18"/>
  <c r="U72" i="18"/>
  <c r="Q72" i="18"/>
  <c r="M72" i="18"/>
  <c r="I72" i="18"/>
  <c r="H72" i="18" s="1"/>
  <c r="G72" i="18"/>
  <c r="AC71" i="18"/>
  <c r="Y71" i="18"/>
  <c r="U71" i="18"/>
  <c r="Q71" i="18"/>
  <c r="M71" i="18"/>
  <c r="I71" i="18"/>
  <c r="H71" i="18" s="1"/>
  <c r="G71" i="18"/>
  <c r="AC70" i="18"/>
  <c r="Y70" i="18"/>
  <c r="U70" i="18"/>
  <c r="Q70" i="18"/>
  <c r="M70" i="18"/>
  <c r="I70" i="18"/>
  <c r="H70" i="18" s="1"/>
  <c r="G70" i="18"/>
  <c r="AC69" i="18"/>
  <c r="Y69" i="18"/>
  <c r="U69" i="18"/>
  <c r="T69" i="18" s="1"/>
  <c r="S69" i="18"/>
  <c r="O69" i="18"/>
  <c r="K69" i="18"/>
  <c r="G69" i="18"/>
  <c r="D66" i="18"/>
  <c r="G66" i="18" s="1"/>
  <c r="AC65" i="18"/>
  <c r="Y65" i="18"/>
  <c r="U65" i="18"/>
  <c r="Q65" i="18"/>
  <c r="M65" i="18"/>
  <c r="I65" i="18"/>
  <c r="H65" i="18" s="1"/>
  <c r="K65" i="18" s="1"/>
  <c r="G65" i="18"/>
  <c r="AC64" i="18"/>
  <c r="Y64" i="18"/>
  <c r="U64" i="18"/>
  <c r="Q64" i="18"/>
  <c r="M64" i="18"/>
  <c r="I64" i="18"/>
  <c r="H64" i="18" s="1"/>
  <c r="G64" i="18"/>
  <c r="AC63" i="18"/>
  <c r="Y63" i="18"/>
  <c r="U63" i="18"/>
  <c r="Q63" i="18"/>
  <c r="M63" i="18"/>
  <c r="I63" i="18"/>
  <c r="H63" i="18" s="1"/>
  <c r="K63" i="18" s="1"/>
  <c r="G63" i="18"/>
  <c r="AC62" i="18"/>
  <c r="Y62" i="18"/>
  <c r="U62" i="18"/>
  <c r="Q62" i="18"/>
  <c r="M62" i="18"/>
  <c r="I62" i="18"/>
  <c r="H62" i="18" s="1"/>
  <c r="G62" i="18"/>
  <c r="AC61" i="18"/>
  <c r="Y61" i="18"/>
  <c r="U61" i="18"/>
  <c r="Q61" i="18"/>
  <c r="M61" i="18"/>
  <c r="I61" i="18"/>
  <c r="H61" i="18" s="1"/>
  <c r="K61" i="18" s="1"/>
  <c r="G61" i="18"/>
  <c r="AC60" i="18"/>
  <c r="Y60" i="18"/>
  <c r="U60" i="18"/>
  <c r="Q60" i="18"/>
  <c r="M60" i="18"/>
  <c r="I60" i="18"/>
  <c r="H60" i="18" s="1"/>
  <c r="G60" i="18"/>
  <c r="AC59" i="18"/>
  <c r="Y59" i="18"/>
  <c r="U59" i="18"/>
  <c r="Q59" i="18"/>
  <c r="M59" i="18"/>
  <c r="I59" i="18"/>
  <c r="H59" i="18" s="1"/>
  <c r="G59" i="18"/>
  <c r="G53" i="18"/>
  <c r="D53" i="18"/>
  <c r="H52" i="18"/>
  <c r="L52" i="18" s="1"/>
  <c r="G52" i="18"/>
  <c r="H51" i="18"/>
  <c r="L51" i="18" s="1"/>
  <c r="G51" i="18"/>
  <c r="AC50" i="18"/>
  <c r="Y50" i="18"/>
  <c r="U50" i="18"/>
  <c r="Q50" i="18"/>
  <c r="M50" i="18"/>
  <c r="I50" i="18"/>
  <c r="G50" i="18"/>
  <c r="E50" i="18"/>
  <c r="AC49" i="18"/>
  <c r="Y49" i="18"/>
  <c r="U49" i="18"/>
  <c r="Q49" i="18"/>
  <c r="M49" i="18"/>
  <c r="I49" i="18"/>
  <c r="G49" i="18"/>
  <c r="E49" i="18"/>
  <c r="AC48" i="18"/>
  <c r="Y48" i="18"/>
  <c r="U48" i="18"/>
  <c r="Q48" i="18"/>
  <c r="M48" i="18"/>
  <c r="I48" i="18"/>
  <c r="H48" i="18" s="1"/>
  <c r="G48" i="18"/>
  <c r="AC47" i="18"/>
  <c r="Y47" i="18"/>
  <c r="U47" i="18"/>
  <c r="Q47" i="18"/>
  <c r="M47" i="18"/>
  <c r="I47" i="18"/>
  <c r="G47" i="18"/>
  <c r="E47" i="18"/>
  <c r="AC46" i="18"/>
  <c r="Y46" i="18"/>
  <c r="U46" i="18"/>
  <c r="Q46" i="18"/>
  <c r="M46" i="18"/>
  <c r="I46" i="18"/>
  <c r="G46" i="18"/>
  <c r="E46" i="18"/>
  <c r="AC45" i="18"/>
  <c r="Y45" i="18"/>
  <c r="U45" i="18"/>
  <c r="Q45" i="18"/>
  <c r="M45" i="18"/>
  <c r="I45" i="18"/>
  <c r="G45" i="18"/>
  <c r="E45" i="18"/>
  <c r="U44" i="18"/>
  <c r="Q44" i="18"/>
  <c r="M44" i="18"/>
  <c r="I44" i="18"/>
  <c r="G44" i="18"/>
  <c r="E44" i="18"/>
  <c r="D41" i="18"/>
  <c r="AC39" i="18"/>
  <c r="Y39" i="18"/>
  <c r="U39" i="18"/>
  <c r="Q39" i="18"/>
  <c r="M39" i="18"/>
  <c r="I39" i="18"/>
  <c r="H39" i="18"/>
  <c r="K39" i="18" s="1"/>
  <c r="G39" i="18"/>
  <c r="AC38" i="18"/>
  <c r="Y38" i="18"/>
  <c r="U38" i="18"/>
  <c r="Q38" i="18"/>
  <c r="M38" i="18"/>
  <c r="L38" i="18"/>
  <c r="P38" i="18" s="1"/>
  <c r="K38" i="18"/>
  <c r="I38" i="18"/>
  <c r="H38" i="18"/>
  <c r="G38" i="18"/>
  <c r="AC37" i="18"/>
  <c r="Y37" i="18"/>
  <c r="U37" i="18"/>
  <c r="Q37" i="18"/>
  <c r="M37" i="18"/>
  <c r="I37" i="18"/>
  <c r="H37" i="18"/>
  <c r="K37" i="18" s="1"/>
  <c r="G37" i="18"/>
  <c r="AC36" i="18"/>
  <c r="Y36" i="18"/>
  <c r="U36" i="18"/>
  <c r="Q36" i="18"/>
  <c r="M36" i="18"/>
  <c r="I36" i="18"/>
  <c r="H36" i="18"/>
  <c r="K36" i="18" s="1"/>
  <c r="G36" i="18"/>
  <c r="AC35" i="18"/>
  <c r="Y35" i="18"/>
  <c r="U35" i="18"/>
  <c r="Q35" i="18"/>
  <c r="M35" i="18"/>
  <c r="L35" i="18"/>
  <c r="P35" i="18" s="1"/>
  <c r="T35" i="18" s="1"/>
  <c r="I35" i="18"/>
  <c r="H35" i="18"/>
  <c r="K35" i="18" s="1"/>
  <c r="G35" i="18"/>
  <c r="AC34" i="18"/>
  <c r="Y34" i="18"/>
  <c r="U34" i="18"/>
  <c r="Q34" i="18"/>
  <c r="M34" i="18"/>
  <c r="I34" i="18"/>
  <c r="H34" i="18"/>
  <c r="K34" i="18" s="1"/>
  <c r="G34" i="18"/>
  <c r="AC33" i="18"/>
  <c r="Y33" i="18"/>
  <c r="U33" i="18"/>
  <c r="Q33" i="18"/>
  <c r="M33" i="18"/>
  <c r="L33" i="18"/>
  <c r="O33" i="18" s="1"/>
  <c r="I33" i="18"/>
  <c r="H33" i="18"/>
  <c r="K33" i="18" s="1"/>
  <c r="G33" i="18"/>
  <c r="D30" i="18"/>
  <c r="G30" i="18" s="1"/>
  <c r="AC28" i="18"/>
  <c r="Y28" i="18"/>
  <c r="U28" i="18"/>
  <c r="Q28" i="18"/>
  <c r="M28" i="18"/>
  <c r="I28" i="18"/>
  <c r="H28" i="18"/>
  <c r="K28" i="18" s="1"/>
  <c r="G28" i="18"/>
  <c r="AC27" i="18"/>
  <c r="Y27" i="18"/>
  <c r="U27" i="18"/>
  <c r="Q27" i="18"/>
  <c r="M27" i="18"/>
  <c r="I27" i="18"/>
  <c r="H27" i="18"/>
  <c r="L27" i="18" s="1"/>
  <c r="O27" i="18" s="1"/>
  <c r="G27" i="18"/>
  <c r="AC26" i="18"/>
  <c r="Y26" i="18"/>
  <c r="U26" i="18"/>
  <c r="Q26" i="18"/>
  <c r="M26" i="18"/>
  <c r="L26" i="18"/>
  <c r="O26" i="18" s="1"/>
  <c r="K26" i="18"/>
  <c r="I26" i="18"/>
  <c r="H26" i="18"/>
  <c r="G26" i="18"/>
  <c r="AC25" i="18"/>
  <c r="Y25" i="18"/>
  <c r="U25" i="18"/>
  <c r="Q25" i="18"/>
  <c r="M25" i="18"/>
  <c r="I25" i="18"/>
  <c r="H25" i="18"/>
  <c r="L25" i="18" s="1"/>
  <c r="O25" i="18" s="1"/>
  <c r="G25" i="18"/>
  <c r="AC24" i="18"/>
  <c r="Y24" i="18"/>
  <c r="U24" i="18"/>
  <c r="Q24" i="18"/>
  <c r="M24" i="18"/>
  <c r="I24" i="18"/>
  <c r="H24" i="18"/>
  <c r="K24" i="18" s="1"/>
  <c r="G24" i="18"/>
  <c r="AC23" i="18"/>
  <c r="Y23" i="18"/>
  <c r="U23" i="18"/>
  <c r="Q23" i="18"/>
  <c r="M23" i="18"/>
  <c r="I23" i="18"/>
  <c r="H23" i="18"/>
  <c r="L23" i="18" s="1"/>
  <c r="P23" i="18" s="1"/>
  <c r="G23" i="18"/>
  <c r="AC22" i="18"/>
  <c r="Y22" i="18"/>
  <c r="U22" i="18"/>
  <c r="Q22" i="18"/>
  <c r="M22" i="18"/>
  <c r="I22" i="18"/>
  <c r="H22" i="18"/>
  <c r="L22" i="18" s="1"/>
  <c r="G22" i="18"/>
  <c r="AC21" i="18"/>
  <c r="Y21" i="18"/>
  <c r="U21" i="18"/>
  <c r="Q21" i="18"/>
  <c r="M21" i="18"/>
  <c r="I21" i="18"/>
  <c r="H21" i="18"/>
  <c r="L21" i="18" s="1"/>
  <c r="P21" i="18" s="1"/>
  <c r="G21" i="18"/>
  <c r="D11" i="18"/>
  <c r="D13" i="18" s="1"/>
  <c r="D96" i="18" s="1"/>
  <c r="AB10" i="18"/>
  <c r="AA10" i="18"/>
  <c r="X10" i="18"/>
  <c r="T10" i="18"/>
  <c r="W10" i="18" s="1"/>
  <c r="S10" i="18"/>
  <c r="P10" i="18"/>
  <c r="L10" i="18"/>
  <c r="O10" i="18" s="1"/>
  <c r="K10" i="18"/>
  <c r="G10" i="18"/>
  <c r="P6" i="18"/>
  <c r="T6" i="18" s="1"/>
  <c r="X6" i="18" s="1"/>
  <c r="AB6" i="18" s="1"/>
  <c r="L6" i="18"/>
  <c r="H6" i="18"/>
  <c r="AB3" i="18"/>
  <c r="AB9" i="18" s="1"/>
  <c r="AB11" i="18" s="1"/>
  <c r="X3" i="18"/>
  <c r="X9" i="18" s="1"/>
  <c r="T3" i="18"/>
  <c r="T9" i="18" s="1"/>
  <c r="P9" i="18"/>
  <c r="L9" i="18"/>
  <c r="L11" i="18" s="1"/>
  <c r="AC81" i="17"/>
  <c r="Y81" i="17"/>
  <c r="U81" i="17"/>
  <c r="Q81" i="17"/>
  <c r="M81" i="17"/>
  <c r="I81" i="17"/>
  <c r="D81" i="17"/>
  <c r="AC80" i="17"/>
  <c r="Y80" i="17"/>
  <c r="U80" i="17"/>
  <c r="Q80" i="17"/>
  <c r="M80" i="17"/>
  <c r="I80" i="17"/>
  <c r="H80" i="17" s="1"/>
  <c r="G80" i="17"/>
  <c r="AC79" i="17"/>
  <c r="Y79" i="17"/>
  <c r="U79" i="17"/>
  <c r="Q79" i="17"/>
  <c r="M79" i="17"/>
  <c r="I79" i="17"/>
  <c r="H79" i="17" s="1"/>
  <c r="G79" i="17"/>
  <c r="AC78" i="17"/>
  <c r="Y78" i="17"/>
  <c r="U78" i="17"/>
  <c r="Q78" i="17"/>
  <c r="M78" i="17"/>
  <c r="I78" i="17"/>
  <c r="H78" i="17" s="1"/>
  <c r="G78" i="17"/>
  <c r="AC77" i="17"/>
  <c r="Y77" i="17"/>
  <c r="U77" i="17"/>
  <c r="Q77" i="17"/>
  <c r="M77" i="17"/>
  <c r="I77" i="17"/>
  <c r="H77" i="17" s="1"/>
  <c r="G77" i="17"/>
  <c r="AC76" i="17"/>
  <c r="Y76" i="17"/>
  <c r="U76" i="17"/>
  <c r="Q76" i="17"/>
  <c r="M76" i="17"/>
  <c r="I76" i="17"/>
  <c r="H76" i="17" s="1"/>
  <c r="G76" i="17"/>
  <c r="AC75" i="17"/>
  <c r="Y75" i="17"/>
  <c r="U75" i="17"/>
  <c r="Q75" i="17"/>
  <c r="M75" i="17"/>
  <c r="I75" i="17"/>
  <c r="H75" i="17" s="1"/>
  <c r="G75" i="17"/>
  <c r="AC74" i="17"/>
  <c r="Y74" i="17"/>
  <c r="U74" i="17"/>
  <c r="Q74" i="17"/>
  <c r="M74" i="17"/>
  <c r="I74" i="17"/>
  <c r="H74" i="17" s="1"/>
  <c r="G74" i="17"/>
  <c r="AC73" i="17"/>
  <c r="Y73" i="17"/>
  <c r="U73" i="17"/>
  <c r="Q73" i="17"/>
  <c r="M73" i="17"/>
  <c r="I73" i="17"/>
  <c r="H73" i="17" s="1"/>
  <c r="G73" i="17"/>
  <c r="AC72" i="17"/>
  <c r="Y72" i="17"/>
  <c r="U72" i="17"/>
  <c r="Q72" i="17"/>
  <c r="M72" i="17"/>
  <c r="I72" i="17"/>
  <c r="H72" i="17" s="1"/>
  <c r="G72" i="17"/>
  <c r="AC71" i="17"/>
  <c r="Y71" i="17"/>
  <c r="U71" i="17"/>
  <c r="Q71" i="17"/>
  <c r="M71" i="17"/>
  <c r="I71" i="17"/>
  <c r="H71" i="17" s="1"/>
  <c r="G71" i="17"/>
  <c r="AC70" i="17"/>
  <c r="Y70" i="17"/>
  <c r="U70" i="17"/>
  <c r="Q70" i="17"/>
  <c r="M70" i="17"/>
  <c r="I70" i="17"/>
  <c r="H70" i="17" s="1"/>
  <c r="G70" i="17"/>
  <c r="AC69" i="17"/>
  <c r="Y69" i="17"/>
  <c r="U69" i="17"/>
  <c r="D66" i="17"/>
  <c r="G66" i="17" s="1"/>
  <c r="AC65" i="17"/>
  <c r="Y65" i="17"/>
  <c r="U65" i="17"/>
  <c r="Q65" i="17"/>
  <c r="M65" i="17"/>
  <c r="I65" i="17"/>
  <c r="H65" i="17" s="1"/>
  <c r="G65" i="17"/>
  <c r="AC64" i="17"/>
  <c r="Y64" i="17"/>
  <c r="U64" i="17"/>
  <c r="Q64" i="17"/>
  <c r="M64" i="17"/>
  <c r="I64" i="17"/>
  <c r="H64" i="17" s="1"/>
  <c r="G64" i="17"/>
  <c r="AC63" i="17"/>
  <c r="Y63" i="17"/>
  <c r="U63" i="17"/>
  <c r="Q63" i="17"/>
  <c r="M63" i="17"/>
  <c r="I63" i="17"/>
  <c r="H63" i="17" s="1"/>
  <c r="G63" i="17"/>
  <c r="AC62" i="17"/>
  <c r="Y62" i="17"/>
  <c r="U62" i="17"/>
  <c r="Q62" i="17"/>
  <c r="M62" i="17"/>
  <c r="I62" i="17"/>
  <c r="H62" i="17" s="1"/>
  <c r="G62" i="17"/>
  <c r="AC61" i="17"/>
  <c r="Y61" i="17"/>
  <c r="U61" i="17"/>
  <c r="Q61" i="17"/>
  <c r="M61" i="17"/>
  <c r="I61" i="17"/>
  <c r="H61" i="17" s="1"/>
  <c r="G61" i="17"/>
  <c r="AC60" i="17"/>
  <c r="Y60" i="17"/>
  <c r="U60" i="17"/>
  <c r="Q60" i="17"/>
  <c r="M60" i="17"/>
  <c r="I60" i="17"/>
  <c r="H60" i="17" s="1"/>
  <c r="G60" i="17"/>
  <c r="AC59" i="17"/>
  <c r="Y59" i="17"/>
  <c r="U59" i="17"/>
  <c r="Q59" i="17"/>
  <c r="M59" i="17"/>
  <c r="I59" i="17"/>
  <c r="H59" i="17" s="1"/>
  <c r="G59" i="17"/>
  <c r="G53" i="17"/>
  <c r="D53" i="17"/>
  <c r="H52" i="17"/>
  <c r="L52" i="17" s="1"/>
  <c r="P52" i="17" s="1"/>
  <c r="G52" i="17"/>
  <c r="H51" i="17"/>
  <c r="K51" i="17" s="1"/>
  <c r="G51" i="17"/>
  <c r="AC50" i="17"/>
  <c r="Y50" i="17"/>
  <c r="U50" i="17"/>
  <c r="Q50" i="17"/>
  <c r="M50" i="17"/>
  <c r="I50" i="17"/>
  <c r="G50" i="17"/>
  <c r="E50" i="17"/>
  <c r="AC49" i="17"/>
  <c r="Y49" i="17"/>
  <c r="U49" i="17"/>
  <c r="Q49" i="17"/>
  <c r="M49" i="17"/>
  <c r="I49" i="17"/>
  <c r="G49" i="17"/>
  <c r="E49" i="17"/>
  <c r="AC48" i="17"/>
  <c r="Y48" i="17"/>
  <c r="U48" i="17"/>
  <c r="Q48" i="17"/>
  <c r="M48" i="17"/>
  <c r="I48" i="17"/>
  <c r="H48" i="17" s="1"/>
  <c r="G48" i="17"/>
  <c r="AC47" i="17"/>
  <c r="Y47" i="17"/>
  <c r="U47" i="17"/>
  <c r="Q47" i="17"/>
  <c r="M47" i="17"/>
  <c r="I47" i="17"/>
  <c r="G47" i="17"/>
  <c r="E47" i="17"/>
  <c r="AC46" i="17"/>
  <c r="Y46" i="17"/>
  <c r="U46" i="17"/>
  <c r="Q46" i="17"/>
  <c r="M46" i="17"/>
  <c r="I46" i="17"/>
  <c r="G46" i="17"/>
  <c r="E46" i="17"/>
  <c r="AC45" i="17"/>
  <c r="Y45" i="17"/>
  <c r="U45" i="17"/>
  <c r="Q45" i="17"/>
  <c r="M45" i="17"/>
  <c r="I45" i="17"/>
  <c r="G45" i="17"/>
  <c r="E45" i="17"/>
  <c r="U44" i="17"/>
  <c r="Q44" i="17"/>
  <c r="M44" i="17"/>
  <c r="I44" i="17"/>
  <c r="G44" i="17"/>
  <c r="E44" i="17"/>
  <c r="D41" i="17"/>
  <c r="G41" i="17" s="1"/>
  <c r="AC39" i="17"/>
  <c r="Y39" i="17"/>
  <c r="U39" i="17"/>
  <c r="Q39" i="17"/>
  <c r="M39" i="17"/>
  <c r="I39" i="17"/>
  <c r="H39" i="17"/>
  <c r="L39" i="17" s="1"/>
  <c r="G39" i="17"/>
  <c r="AC38" i="17"/>
  <c r="Y38" i="17"/>
  <c r="U38" i="17"/>
  <c r="Q38" i="17"/>
  <c r="M38" i="17"/>
  <c r="I38" i="17"/>
  <c r="H38" i="17"/>
  <c r="L38" i="17" s="1"/>
  <c r="G38" i="17"/>
  <c r="AC37" i="17"/>
  <c r="Y37" i="17"/>
  <c r="U37" i="17"/>
  <c r="Q37" i="17"/>
  <c r="M37" i="17"/>
  <c r="I37" i="17"/>
  <c r="H37" i="17"/>
  <c r="L37" i="17" s="1"/>
  <c r="G37" i="17"/>
  <c r="AC36" i="17"/>
  <c r="Y36" i="17"/>
  <c r="U36" i="17"/>
  <c r="Q36" i="17"/>
  <c r="M36" i="17"/>
  <c r="I36" i="17"/>
  <c r="H36" i="17"/>
  <c r="L36" i="17" s="1"/>
  <c r="G36" i="17"/>
  <c r="AC35" i="17"/>
  <c r="Y35" i="17"/>
  <c r="U35" i="17"/>
  <c r="Q35" i="17"/>
  <c r="M35" i="17"/>
  <c r="I35" i="17"/>
  <c r="H35" i="17"/>
  <c r="L35" i="17" s="1"/>
  <c r="O35" i="17" s="1"/>
  <c r="G35" i="17"/>
  <c r="AC34" i="17"/>
  <c r="Y34" i="17"/>
  <c r="U34" i="17"/>
  <c r="Q34" i="17"/>
  <c r="M34" i="17"/>
  <c r="I34" i="17"/>
  <c r="H34" i="17"/>
  <c r="G34" i="17"/>
  <c r="AC33" i="17"/>
  <c r="Y33" i="17"/>
  <c r="U33" i="17"/>
  <c r="Q33" i="17"/>
  <c r="M33" i="17"/>
  <c r="I33" i="17"/>
  <c r="H33" i="17"/>
  <c r="K33" i="17" s="1"/>
  <c r="G33" i="17"/>
  <c r="D30" i="17"/>
  <c r="G30" i="17" s="1"/>
  <c r="AC28" i="17"/>
  <c r="Y28" i="17"/>
  <c r="U28" i="17"/>
  <c r="Q28" i="17"/>
  <c r="M28" i="17"/>
  <c r="I28" i="17"/>
  <c r="H28" i="17"/>
  <c r="K28" i="17" s="1"/>
  <c r="G28" i="17"/>
  <c r="AC27" i="17"/>
  <c r="Y27" i="17"/>
  <c r="U27" i="17"/>
  <c r="Q27" i="17"/>
  <c r="M27" i="17"/>
  <c r="I27" i="17"/>
  <c r="H27" i="17"/>
  <c r="K27" i="17" s="1"/>
  <c r="G27" i="17"/>
  <c r="AC26" i="17"/>
  <c r="Y26" i="17"/>
  <c r="U26" i="17"/>
  <c r="Q26" i="17"/>
  <c r="M26" i="17"/>
  <c r="I26" i="17"/>
  <c r="H26" i="17"/>
  <c r="K26" i="17" s="1"/>
  <c r="G26" i="17"/>
  <c r="AC25" i="17"/>
  <c r="Y25" i="17"/>
  <c r="U25" i="17"/>
  <c r="Q25" i="17"/>
  <c r="M25" i="17"/>
  <c r="I25" i="17"/>
  <c r="H25" i="17"/>
  <c r="K25" i="17" s="1"/>
  <c r="G25" i="17"/>
  <c r="AC24" i="17"/>
  <c r="Y24" i="17"/>
  <c r="U24" i="17"/>
  <c r="Q24" i="17"/>
  <c r="M24" i="17"/>
  <c r="I24" i="17"/>
  <c r="H24" i="17"/>
  <c r="K24" i="17" s="1"/>
  <c r="G24" i="17"/>
  <c r="AC23" i="17"/>
  <c r="Y23" i="17"/>
  <c r="U23" i="17"/>
  <c r="Q23" i="17"/>
  <c r="M23" i="17"/>
  <c r="L23" i="17"/>
  <c r="P23" i="17" s="1"/>
  <c r="S23" i="17" s="1"/>
  <c r="I23" i="17"/>
  <c r="H23" i="17"/>
  <c r="K23" i="17" s="1"/>
  <c r="G23" i="17"/>
  <c r="AC22" i="17"/>
  <c r="Y22" i="17"/>
  <c r="U22" i="17"/>
  <c r="Q22" i="17"/>
  <c r="M22" i="17"/>
  <c r="L22" i="17"/>
  <c r="P22" i="17" s="1"/>
  <c r="S22" i="17" s="1"/>
  <c r="I22" i="17"/>
  <c r="H22" i="17"/>
  <c r="K22" i="17" s="1"/>
  <c r="G22" i="17"/>
  <c r="AC21" i="17"/>
  <c r="Y21" i="17"/>
  <c r="U21" i="17"/>
  <c r="Q21" i="17"/>
  <c r="M21" i="17"/>
  <c r="I21" i="17"/>
  <c r="H21" i="17"/>
  <c r="K21" i="17" s="1"/>
  <c r="G21" i="17"/>
  <c r="AB10" i="17"/>
  <c r="AA10" i="17"/>
  <c r="X10" i="17"/>
  <c r="T10" i="17"/>
  <c r="W10" i="17" s="1"/>
  <c r="P10" i="17"/>
  <c r="S10" i="17" s="1"/>
  <c r="L10" i="17"/>
  <c r="O10" i="17" s="1"/>
  <c r="K10" i="17"/>
  <c r="G10" i="17"/>
  <c r="T9" i="17"/>
  <c r="W9" i="17" s="1"/>
  <c r="P9" i="17"/>
  <c r="S9" i="17" s="1"/>
  <c r="D11" i="17"/>
  <c r="H6" i="17"/>
  <c r="L6" i="17" s="1"/>
  <c r="P6" i="17" s="1"/>
  <c r="T6" i="17" s="1"/>
  <c r="X6" i="17" s="1"/>
  <c r="AB6" i="17" s="1"/>
  <c r="AB3" i="17"/>
  <c r="AB9" i="17" s="1"/>
  <c r="AB11" i="17" s="1"/>
  <c r="X3" i="17"/>
  <c r="X9" i="17" s="1"/>
  <c r="T3" i="17"/>
  <c r="L9" i="17"/>
  <c r="L33" i="15"/>
  <c r="P33" i="15" s="1"/>
  <c r="T33" i="15" s="1"/>
  <c r="G33" i="15"/>
  <c r="AC81" i="15"/>
  <c r="Y81" i="15"/>
  <c r="U81" i="15"/>
  <c r="Q81" i="15"/>
  <c r="M81" i="15"/>
  <c r="I81" i="15"/>
  <c r="D81" i="15"/>
  <c r="AC80" i="15"/>
  <c r="Y80" i="15"/>
  <c r="U80" i="15"/>
  <c r="Q80" i="15"/>
  <c r="M80" i="15"/>
  <c r="I80" i="15"/>
  <c r="H80" i="15" s="1"/>
  <c r="G80" i="15"/>
  <c r="AC79" i="15"/>
  <c r="Y79" i="15"/>
  <c r="U79" i="15"/>
  <c r="Q79" i="15"/>
  <c r="M79" i="15"/>
  <c r="I79" i="15"/>
  <c r="H79" i="15" s="1"/>
  <c r="G79" i="15"/>
  <c r="AC78" i="15"/>
  <c r="Y78" i="15"/>
  <c r="U78" i="15"/>
  <c r="Q78" i="15"/>
  <c r="M78" i="15"/>
  <c r="I78" i="15"/>
  <c r="H78" i="15" s="1"/>
  <c r="G78" i="15"/>
  <c r="AC77" i="15"/>
  <c r="Y77" i="15"/>
  <c r="U77" i="15"/>
  <c r="Q77" i="15"/>
  <c r="M77" i="15"/>
  <c r="I77" i="15"/>
  <c r="H77" i="15" s="1"/>
  <c r="G77" i="15"/>
  <c r="AC76" i="15"/>
  <c r="Y76" i="15"/>
  <c r="U76" i="15"/>
  <c r="Q76" i="15"/>
  <c r="M76" i="15"/>
  <c r="I76" i="15"/>
  <c r="H76" i="15" s="1"/>
  <c r="G76" i="15"/>
  <c r="AC75" i="15"/>
  <c r="Y75" i="15"/>
  <c r="U75" i="15"/>
  <c r="Q75" i="15"/>
  <c r="M75" i="15"/>
  <c r="I75" i="15"/>
  <c r="H75" i="15" s="1"/>
  <c r="G75" i="15"/>
  <c r="AC74" i="15"/>
  <c r="Y74" i="15"/>
  <c r="U74" i="15"/>
  <c r="Q74" i="15"/>
  <c r="M74" i="15"/>
  <c r="I74" i="15"/>
  <c r="H74" i="15" s="1"/>
  <c r="G74" i="15"/>
  <c r="AC73" i="15"/>
  <c r="Y73" i="15"/>
  <c r="U73" i="15"/>
  <c r="Q73" i="15"/>
  <c r="M73" i="15"/>
  <c r="I73" i="15"/>
  <c r="H73" i="15" s="1"/>
  <c r="G73" i="15"/>
  <c r="AC72" i="15"/>
  <c r="Y72" i="15"/>
  <c r="U72" i="15"/>
  <c r="Q72" i="15"/>
  <c r="M72" i="15"/>
  <c r="I72" i="15"/>
  <c r="H72" i="15" s="1"/>
  <c r="G72" i="15"/>
  <c r="AC71" i="15"/>
  <c r="Y71" i="15"/>
  <c r="U71" i="15"/>
  <c r="Q71" i="15"/>
  <c r="M71" i="15"/>
  <c r="I71" i="15"/>
  <c r="H71" i="15" s="1"/>
  <c r="G71" i="15"/>
  <c r="AC70" i="15"/>
  <c r="Y70" i="15"/>
  <c r="U70" i="15"/>
  <c r="Q70" i="15"/>
  <c r="M70" i="15"/>
  <c r="I70" i="15"/>
  <c r="H70" i="15" s="1"/>
  <c r="G70" i="15"/>
  <c r="AC69" i="15"/>
  <c r="Y69" i="15"/>
  <c r="U69" i="15"/>
  <c r="Q69" i="15"/>
  <c r="M69" i="15"/>
  <c r="I69" i="15"/>
  <c r="H69" i="15" s="1"/>
  <c r="G69" i="15"/>
  <c r="D66" i="15"/>
  <c r="G66" i="15" s="1"/>
  <c r="AC65" i="15"/>
  <c r="Y65" i="15"/>
  <c r="U65" i="15"/>
  <c r="Q65" i="15"/>
  <c r="M65" i="15"/>
  <c r="I65" i="15"/>
  <c r="H65" i="15" s="1"/>
  <c r="G65" i="15"/>
  <c r="AC64" i="15"/>
  <c r="Y64" i="15"/>
  <c r="U64" i="15"/>
  <c r="Q64" i="15"/>
  <c r="M64" i="15"/>
  <c r="I64" i="15"/>
  <c r="H64" i="15" s="1"/>
  <c r="G64" i="15"/>
  <c r="AC63" i="15"/>
  <c r="Y63" i="15"/>
  <c r="U63" i="15"/>
  <c r="Q63" i="15"/>
  <c r="M63" i="15"/>
  <c r="I63" i="15"/>
  <c r="H63" i="15" s="1"/>
  <c r="G63" i="15"/>
  <c r="AC62" i="15"/>
  <c r="Y62" i="15"/>
  <c r="U62" i="15"/>
  <c r="Q62" i="15"/>
  <c r="M62" i="15"/>
  <c r="I62" i="15"/>
  <c r="H62" i="15" s="1"/>
  <c r="G62" i="15"/>
  <c r="AC61" i="15"/>
  <c r="Y61" i="15"/>
  <c r="U61" i="15"/>
  <c r="Q61" i="15"/>
  <c r="M61" i="15"/>
  <c r="I61" i="15"/>
  <c r="H61" i="15" s="1"/>
  <c r="G61" i="15"/>
  <c r="AC60" i="15"/>
  <c r="Y60" i="15"/>
  <c r="U60" i="15"/>
  <c r="Q60" i="15"/>
  <c r="M60" i="15"/>
  <c r="I60" i="15"/>
  <c r="H60" i="15" s="1"/>
  <c r="G60" i="15"/>
  <c r="AC59" i="15"/>
  <c r="Y59" i="15"/>
  <c r="U59" i="15"/>
  <c r="Q59" i="15"/>
  <c r="M59" i="15"/>
  <c r="I59" i="15"/>
  <c r="H59" i="15" s="1"/>
  <c r="G59" i="15"/>
  <c r="D53" i="15"/>
  <c r="AC50" i="15"/>
  <c r="Y50" i="15"/>
  <c r="U50" i="15"/>
  <c r="Q50" i="15"/>
  <c r="M50" i="15"/>
  <c r="I50" i="15"/>
  <c r="E50" i="15"/>
  <c r="AC49" i="15"/>
  <c r="Y49" i="15"/>
  <c r="U49" i="15"/>
  <c r="Q49" i="15"/>
  <c r="M49" i="15"/>
  <c r="I49" i="15"/>
  <c r="E49" i="15"/>
  <c r="AC48" i="15"/>
  <c r="Y48" i="15"/>
  <c r="U48" i="15"/>
  <c r="Q48" i="15"/>
  <c r="M48" i="15"/>
  <c r="L48" i="15" s="1"/>
  <c r="I48" i="15"/>
  <c r="G48" i="15" s="1"/>
  <c r="AC47" i="15"/>
  <c r="Y47" i="15"/>
  <c r="U47" i="15"/>
  <c r="Q47" i="15"/>
  <c r="M47" i="15"/>
  <c r="I47" i="15"/>
  <c r="E47" i="15"/>
  <c r="AC46" i="15"/>
  <c r="Y46" i="15"/>
  <c r="U46" i="15"/>
  <c r="Q46" i="15"/>
  <c r="M46" i="15"/>
  <c r="I46" i="15"/>
  <c r="G46" i="15"/>
  <c r="E46" i="15"/>
  <c r="AC45" i="15"/>
  <c r="Y45" i="15"/>
  <c r="U45" i="15"/>
  <c r="Q45" i="15"/>
  <c r="M45" i="15"/>
  <c r="I45" i="15"/>
  <c r="G45" i="15"/>
  <c r="E45" i="15"/>
  <c r="U44" i="15"/>
  <c r="Q44" i="15"/>
  <c r="M44" i="15"/>
  <c r="I44" i="15"/>
  <c r="E44" i="15"/>
  <c r="D41" i="15"/>
  <c r="AC39" i="15"/>
  <c r="Y39" i="15"/>
  <c r="U39" i="15"/>
  <c r="Q39" i="15"/>
  <c r="M39" i="15"/>
  <c r="I39" i="15"/>
  <c r="H39" i="15"/>
  <c r="K39" i="15" s="1"/>
  <c r="G39" i="15"/>
  <c r="AC38" i="15"/>
  <c r="Y38" i="15"/>
  <c r="U38" i="15"/>
  <c r="Q38" i="15"/>
  <c r="M38" i="15"/>
  <c r="I38" i="15"/>
  <c r="H38" i="15"/>
  <c r="K38" i="15" s="1"/>
  <c r="G38" i="15"/>
  <c r="AC37" i="15"/>
  <c r="Y37" i="15"/>
  <c r="U37" i="15"/>
  <c r="Q37" i="15"/>
  <c r="M37" i="15"/>
  <c r="I37" i="15"/>
  <c r="H37" i="15"/>
  <c r="K37" i="15" s="1"/>
  <c r="G37" i="15"/>
  <c r="AC36" i="15"/>
  <c r="Y36" i="15"/>
  <c r="U36" i="15"/>
  <c r="Q36" i="15"/>
  <c r="M36" i="15"/>
  <c r="K36" i="15"/>
  <c r="I36" i="15"/>
  <c r="H36" i="15"/>
  <c r="L36" i="15" s="1"/>
  <c r="P36" i="15" s="1"/>
  <c r="G36" i="15"/>
  <c r="AC35" i="15"/>
  <c r="Y35" i="15"/>
  <c r="U35" i="15"/>
  <c r="Q35" i="15"/>
  <c r="M35" i="15"/>
  <c r="I35" i="15"/>
  <c r="H35" i="15"/>
  <c r="K35" i="15" s="1"/>
  <c r="G35" i="15"/>
  <c r="AC34" i="15"/>
  <c r="Y34" i="15"/>
  <c r="U34" i="15"/>
  <c r="Q34" i="15"/>
  <c r="M34" i="15"/>
  <c r="I34" i="15"/>
  <c r="H34" i="15"/>
  <c r="K34" i="15" s="1"/>
  <c r="G34" i="15"/>
  <c r="AC33" i="15"/>
  <c r="Y33" i="15"/>
  <c r="H41" i="15"/>
  <c r="D30" i="15"/>
  <c r="G30" i="15" s="1"/>
  <c r="AC28" i="15"/>
  <c r="Y28" i="15"/>
  <c r="U28" i="15"/>
  <c r="Q28" i="15"/>
  <c r="M28" i="15"/>
  <c r="I28" i="15"/>
  <c r="H28" i="15"/>
  <c r="L28" i="15" s="1"/>
  <c r="O28" i="15" s="1"/>
  <c r="G28" i="15"/>
  <c r="AC27" i="15"/>
  <c r="Y27" i="15"/>
  <c r="U27" i="15"/>
  <c r="Q27" i="15"/>
  <c r="M27" i="15"/>
  <c r="I27" i="15"/>
  <c r="H27" i="15"/>
  <c r="K27" i="15" s="1"/>
  <c r="G27" i="15"/>
  <c r="AC26" i="15"/>
  <c r="Y26" i="15"/>
  <c r="U26" i="15"/>
  <c r="Q26" i="15"/>
  <c r="M26" i="15"/>
  <c r="I26" i="15"/>
  <c r="H26" i="15"/>
  <c r="L26" i="15" s="1"/>
  <c r="G26" i="15"/>
  <c r="AC25" i="15"/>
  <c r="Y25" i="15"/>
  <c r="U25" i="15"/>
  <c r="Q25" i="15"/>
  <c r="M25" i="15"/>
  <c r="I25" i="15"/>
  <c r="H25" i="15"/>
  <c r="G25" i="15"/>
  <c r="AC24" i="15"/>
  <c r="Y24" i="15"/>
  <c r="U24" i="15"/>
  <c r="Q24" i="15"/>
  <c r="M24" i="15"/>
  <c r="I24" i="15"/>
  <c r="H24" i="15"/>
  <c r="K24" i="15" s="1"/>
  <c r="G24" i="15"/>
  <c r="AC23" i="15"/>
  <c r="Y23" i="15"/>
  <c r="U23" i="15"/>
  <c r="Q23" i="15"/>
  <c r="M23" i="15"/>
  <c r="I23" i="15"/>
  <c r="H23" i="15"/>
  <c r="G23" i="15"/>
  <c r="AC22" i="15"/>
  <c r="Y22" i="15"/>
  <c r="U22" i="15"/>
  <c r="Q22" i="15"/>
  <c r="M22" i="15"/>
  <c r="L22" i="15"/>
  <c r="O22" i="15" s="1"/>
  <c r="K22" i="15"/>
  <c r="I22" i="15"/>
  <c r="H22" i="15"/>
  <c r="G22" i="15"/>
  <c r="AC21" i="15"/>
  <c r="Y21" i="15"/>
  <c r="U21" i="15"/>
  <c r="Q21" i="15"/>
  <c r="M21" i="15"/>
  <c r="I21" i="15"/>
  <c r="H21" i="15"/>
  <c r="G21" i="15"/>
  <c r="AB10" i="15"/>
  <c r="X10" i="15"/>
  <c r="AA10" i="15" s="1"/>
  <c r="G10" i="15"/>
  <c r="AB9" i="15"/>
  <c r="AB11" i="15" s="1"/>
  <c r="H6" i="15"/>
  <c r="L6" i="15" s="1"/>
  <c r="P6" i="15" s="1"/>
  <c r="T6" i="15" s="1"/>
  <c r="X6" i="15" s="1"/>
  <c r="AB6" i="15" s="1"/>
  <c r="AB3" i="15"/>
  <c r="X3" i="15"/>
  <c r="X9" i="15" s="1"/>
  <c r="T3" i="15"/>
  <c r="L69" i="13"/>
  <c r="P46" i="19" l="1"/>
  <c r="H44" i="15"/>
  <c r="G44" i="15" s="1"/>
  <c r="K36" i="20"/>
  <c r="L34" i="20"/>
  <c r="O34" i="20" s="1"/>
  <c r="G9" i="19"/>
  <c r="F8" i="27"/>
  <c r="F8" i="28" s="1"/>
  <c r="N8" i="28" s="1"/>
  <c r="L35" i="15"/>
  <c r="O35" i="15" s="1"/>
  <c r="L39" i="15"/>
  <c r="O39" i="15" s="1"/>
  <c r="L34" i="15"/>
  <c r="O34" i="15" s="1"/>
  <c r="L38" i="15"/>
  <c r="O38" i="15" s="1"/>
  <c r="L34" i="18"/>
  <c r="L36" i="18"/>
  <c r="P36" i="18" s="1"/>
  <c r="O38" i="18"/>
  <c r="L39" i="18"/>
  <c r="K21" i="18"/>
  <c r="K27" i="18"/>
  <c r="D55" i="18"/>
  <c r="G55" i="18" s="1"/>
  <c r="K25" i="18"/>
  <c r="L28" i="18"/>
  <c r="O28" i="18" s="1"/>
  <c r="K28" i="15"/>
  <c r="L24" i="15"/>
  <c r="O24" i="15" s="1"/>
  <c r="L51" i="20"/>
  <c r="O51" i="20" s="1"/>
  <c r="K23" i="20"/>
  <c r="L52" i="20"/>
  <c r="O52" i="20" s="1"/>
  <c r="L21" i="17"/>
  <c r="P21" i="17" s="1"/>
  <c r="S21" i="17" s="1"/>
  <c r="L26" i="17"/>
  <c r="P26" i="17" s="1"/>
  <c r="S26" i="17" s="1"/>
  <c r="K37" i="17"/>
  <c r="L28" i="17"/>
  <c r="P28" i="17" s="1"/>
  <c r="S28" i="17" s="1"/>
  <c r="K52" i="17"/>
  <c r="L51" i="17"/>
  <c r="P51" i="17" s="1"/>
  <c r="K35" i="17"/>
  <c r="D13" i="21"/>
  <c r="D15" i="21"/>
  <c r="O23" i="21"/>
  <c r="P23" i="21"/>
  <c r="K39" i="21"/>
  <c r="K21" i="21"/>
  <c r="L41" i="21"/>
  <c r="L21" i="21"/>
  <c r="P21" i="21" s="1"/>
  <c r="L52" i="21"/>
  <c r="P52" i="21" s="1"/>
  <c r="T52" i="21" s="1"/>
  <c r="D96" i="21"/>
  <c r="G47" i="19"/>
  <c r="G44" i="19"/>
  <c r="F29" i="36"/>
  <c r="F71" i="36" s="1"/>
  <c r="F78" i="36" s="1"/>
  <c r="G25" i="36"/>
  <c r="G71" i="36" s="1"/>
  <c r="G78" i="36" s="1"/>
  <c r="G13" i="22"/>
  <c r="L70" i="20"/>
  <c r="P70" i="20" s="1"/>
  <c r="L79" i="19"/>
  <c r="L80" i="18"/>
  <c r="O80" i="18" s="1"/>
  <c r="L63" i="21"/>
  <c r="O63" i="21" s="1"/>
  <c r="L71" i="15"/>
  <c r="O71" i="15" s="1"/>
  <c r="L79" i="15"/>
  <c r="O79" i="15" s="1"/>
  <c r="L63" i="17"/>
  <c r="O63" i="17" s="1"/>
  <c r="L71" i="21"/>
  <c r="O71" i="21" s="1"/>
  <c r="L79" i="21"/>
  <c r="O79" i="21" s="1"/>
  <c r="L77" i="15"/>
  <c r="O77" i="15" s="1"/>
  <c r="L73" i="21"/>
  <c r="O73" i="21" s="1"/>
  <c r="L73" i="19"/>
  <c r="P73" i="19" s="1"/>
  <c r="L61" i="21"/>
  <c r="O61" i="21" s="1"/>
  <c r="L71" i="17"/>
  <c r="O71" i="17" s="1"/>
  <c r="L75" i="17"/>
  <c r="P75" i="17" s="1"/>
  <c r="L72" i="20"/>
  <c r="O72" i="20" s="1"/>
  <c r="L76" i="20"/>
  <c r="P76" i="20" s="1"/>
  <c r="L76" i="18"/>
  <c r="P76" i="18" s="1"/>
  <c r="L81" i="18"/>
  <c r="P81" i="18" s="1"/>
  <c r="P63" i="21"/>
  <c r="S63" i="21" s="1"/>
  <c r="L74" i="18"/>
  <c r="P74" i="18" s="1"/>
  <c r="L66" i="20"/>
  <c r="P66" i="20" s="1"/>
  <c r="L59" i="15"/>
  <c r="P59" i="15" s="1"/>
  <c r="S59" i="15" s="1"/>
  <c r="L73" i="17"/>
  <c r="O73" i="17" s="1"/>
  <c r="S38" i="18"/>
  <c r="T38" i="18"/>
  <c r="X38" i="18" s="1"/>
  <c r="S37" i="21"/>
  <c r="T37" i="21"/>
  <c r="W37" i="21" s="1"/>
  <c r="S39" i="21"/>
  <c r="T39" i="21"/>
  <c r="W39" i="21" s="1"/>
  <c r="O22" i="17"/>
  <c r="P24" i="19"/>
  <c r="S24" i="19" s="1"/>
  <c r="P28" i="15"/>
  <c r="S28" i="15" s="1"/>
  <c r="P25" i="18"/>
  <c r="T25" i="18" s="1"/>
  <c r="W25" i="18" s="1"/>
  <c r="P27" i="18"/>
  <c r="S10" i="21"/>
  <c r="P33" i="21"/>
  <c r="T33" i="21" s="1"/>
  <c r="W33" i="21" s="1"/>
  <c r="T35" i="21"/>
  <c r="W35" i="21" s="1"/>
  <c r="O36" i="15"/>
  <c r="O39" i="21"/>
  <c r="L11" i="20"/>
  <c r="F13" i="22"/>
  <c r="K61" i="17"/>
  <c r="L61" i="17"/>
  <c r="O61" i="17" s="1"/>
  <c r="L60" i="17"/>
  <c r="P60" i="17" s="1"/>
  <c r="S60" i="17" s="1"/>
  <c r="L75" i="19"/>
  <c r="O75" i="19" s="1"/>
  <c r="L73" i="15"/>
  <c r="O73" i="15" s="1"/>
  <c r="L75" i="21"/>
  <c r="P75" i="21" s="1"/>
  <c r="L59" i="18"/>
  <c r="O59" i="18" s="1"/>
  <c r="L75" i="15"/>
  <c r="O75" i="15" s="1"/>
  <c r="L79" i="17"/>
  <c r="O79" i="17" s="1"/>
  <c r="L72" i="18"/>
  <c r="P72" i="18" s="1"/>
  <c r="P48" i="19"/>
  <c r="O48" i="19" s="1"/>
  <c r="L68" i="20"/>
  <c r="O68" i="20" s="1"/>
  <c r="L74" i="20"/>
  <c r="P74" i="20" s="1"/>
  <c r="L65" i="15"/>
  <c r="P65" i="15" s="1"/>
  <c r="K65" i="15"/>
  <c r="K61" i="15"/>
  <c r="L61" i="15"/>
  <c r="O61" i="15" s="1"/>
  <c r="L63" i="15"/>
  <c r="O63" i="15" s="1"/>
  <c r="K63" i="15"/>
  <c r="L65" i="21"/>
  <c r="P65" i="21" s="1"/>
  <c r="T65" i="21" s="1"/>
  <c r="K65" i="21"/>
  <c r="H81" i="15"/>
  <c r="L60" i="18"/>
  <c r="P60" i="18" s="1"/>
  <c r="S60" i="18" s="1"/>
  <c r="L63" i="19"/>
  <c r="P63" i="19" s="1"/>
  <c r="H81" i="19"/>
  <c r="K81" i="19" s="1"/>
  <c r="L48" i="21"/>
  <c r="K63" i="21"/>
  <c r="H81" i="21"/>
  <c r="H82" i="21" s="1"/>
  <c r="L65" i="17"/>
  <c r="P65" i="17" s="1"/>
  <c r="S65" i="17" s="1"/>
  <c r="L77" i="17"/>
  <c r="P77" i="17" s="1"/>
  <c r="L61" i="18"/>
  <c r="P61" i="18" s="1"/>
  <c r="L63" i="18"/>
  <c r="P63" i="18" s="1"/>
  <c r="S63" i="18" s="1"/>
  <c r="L65" i="18"/>
  <c r="P65" i="18" s="1"/>
  <c r="T65" i="18" s="1"/>
  <c r="L70" i="18"/>
  <c r="P70" i="18" s="1"/>
  <c r="L78" i="18"/>
  <c r="P78" i="18" s="1"/>
  <c r="H81" i="17"/>
  <c r="H82" i="17" s="1"/>
  <c r="L77" i="19"/>
  <c r="P77" i="19" s="1"/>
  <c r="L77" i="21"/>
  <c r="P77" i="21" s="1"/>
  <c r="G97" i="13"/>
  <c r="G99" i="13"/>
  <c r="K99" i="13"/>
  <c r="G98" i="13"/>
  <c r="K9" i="20"/>
  <c r="K61" i="21"/>
  <c r="T11" i="21"/>
  <c r="W9" i="21"/>
  <c r="G9" i="21"/>
  <c r="H11" i="21"/>
  <c r="G11" i="21" s="1"/>
  <c r="K9" i="21"/>
  <c r="X11" i="21"/>
  <c r="AA9" i="21"/>
  <c r="S21" i="21"/>
  <c r="T21" i="21"/>
  <c r="O9" i="21"/>
  <c r="P25" i="21"/>
  <c r="K28" i="21"/>
  <c r="L28" i="21"/>
  <c r="L45" i="21"/>
  <c r="O45" i="21" s="1"/>
  <c r="O41" i="21"/>
  <c r="L46" i="21"/>
  <c r="O46" i="21" s="1"/>
  <c r="S52" i="21"/>
  <c r="P11" i="21"/>
  <c r="G13" i="21"/>
  <c r="AB13" i="21" s="1"/>
  <c r="AB96" i="21" s="1"/>
  <c r="K22" i="21"/>
  <c r="L22" i="21"/>
  <c r="K26" i="21"/>
  <c r="L26" i="21"/>
  <c r="S27" i="21"/>
  <c r="T27" i="21"/>
  <c r="T51" i="21"/>
  <c r="S51" i="21"/>
  <c r="O21" i="21"/>
  <c r="S23" i="21"/>
  <c r="T23" i="21"/>
  <c r="H45" i="21"/>
  <c r="K45" i="21" s="1"/>
  <c r="H49" i="21"/>
  <c r="K49" i="21" s="1"/>
  <c r="H46" i="21"/>
  <c r="K46" i="21" s="1"/>
  <c r="H50" i="21"/>
  <c r="K50" i="21" s="1"/>
  <c r="H47" i="21"/>
  <c r="K47" i="21" s="1"/>
  <c r="K41" i="21"/>
  <c r="K62" i="21"/>
  <c r="L62" i="21"/>
  <c r="K30" i="21"/>
  <c r="H44" i="21"/>
  <c r="K24" i="21"/>
  <c r="L24" i="21"/>
  <c r="S33" i="21"/>
  <c r="X33" i="21"/>
  <c r="K34" i="21"/>
  <c r="P34" i="21"/>
  <c r="X35" i="21"/>
  <c r="P36" i="21"/>
  <c r="X37" i="21"/>
  <c r="P38" i="21"/>
  <c r="X39" i="21"/>
  <c r="D55" i="21"/>
  <c r="G55" i="21" s="1"/>
  <c r="S65" i="21"/>
  <c r="K70" i="21"/>
  <c r="L78" i="21"/>
  <c r="K78" i="21"/>
  <c r="L76" i="21"/>
  <c r="K76" i="21"/>
  <c r="K81" i="21"/>
  <c r="O51" i="21"/>
  <c r="O52" i="21"/>
  <c r="G60" i="21"/>
  <c r="K64" i="21"/>
  <c r="L64" i="21"/>
  <c r="L74" i="21"/>
  <c r="K74" i="21"/>
  <c r="L72" i="21"/>
  <c r="K72" i="21"/>
  <c r="L80" i="21"/>
  <c r="K80" i="21"/>
  <c r="K69" i="21"/>
  <c r="K71" i="21"/>
  <c r="K73" i="21"/>
  <c r="K75" i="21"/>
  <c r="K77" i="21"/>
  <c r="K79" i="21"/>
  <c r="D82" i="21"/>
  <c r="G81" i="21"/>
  <c r="K60" i="20"/>
  <c r="P23" i="20"/>
  <c r="O23" i="20"/>
  <c r="O27" i="20"/>
  <c r="P27" i="20"/>
  <c r="S27" i="20" s="1"/>
  <c r="K21" i="20"/>
  <c r="L25" i="20"/>
  <c r="K27" i="20"/>
  <c r="L26" i="20"/>
  <c r="P26" i="20" s="1"/>
  <c r="T26" i="20" s="1"/>
  <c r="X26" i="20" s="1"/>
  <c r="L28" i="20"/>
  <c r="P28" i="20" s="1"/>
  <c r="T28" i="20" s="1"/>
  <c r="X28" i="20" s="1"/>
  <c r="K35" i="20"/>
  <c r="P36" i="20"/>
  <c r="T36" i="20" s="1"/>
  <c r="K38" i="20"/>
  <c r="H11" i="20"/>
  <c r="P21" i="20"/>
  <c r="L22" i="20"/>
  <c r="H41" i="20"/>
  <c r="L33" i="20"/>
  <c r="P34" i="20"/>
  <c r="P35" i="20"/>
  <c r="P38" i="20"/>
  <c r="L48" i="20"/>
  <c r="K48" i="20"/>
  <c r="D13" i="20"/>
  <c r="D15" i="20" s="1"/>
  <c r="K39" i="20"/>
  <c r="L39" i="20"/>
  <c r="G9" i="20"/>
  <c r="S26" i="20"/>
  <c r="H30" i="20"/>
  <c r="L24" i="20"/>
  <c r="T27" i="20"/>
  <c r="O28" i="20"/>
  <c r="K37" i="20"/>
  <c r="L37" i="20"/>
  <c r="P51" i="20"/>
  <c r="P52" i="20"/>
  <c r="H78" i="20"/>
  <c r="L65" i="20"/>
  <c r="K65" i="20"/>
  <c r="L73" i="20"/>
  <c r="K73" i="20"/>
  <c r="D55" i="20"/>
  <c r="G55" i="20" s="1"/>
  <c r="H62" i="20"/>
  <c r="G43" i="27" s="1"/>
  <c r="L71" i="20"/>
  <c r="K71" i="20"/>
  <c r="L69" i="20"/>
  <c r="K69" i="20"/>
  <c r="L77" i="20"/>
  <c r="K77" i="20"/>
  <c r="L67" i="20"/>
  <c r="K67" i="20"/>
  <c r="L75" i="20"/>
  <c r="K75" i="20"/>
  <c r="D78" i="20"/>
  <c r="K66" i="20"/>
  <c r="K68" i="20"/>
  <c r="K70" i="20"/>
  <c r="K72" i="20"/>
  <c r="K74" i="20"/>
  <c r="K76" i="20"/>
  <c r="L27" i="19"/>
  <c r="O27" i="19" s="1"/>
  <c r="G46" i="19"/>
  <c r="P23" i="19"/>
  <c r="T23" i="19" s="1"/>
  <c r="X23" i="19" s="1"/>
  <c r="K24" i="19"/>
  <c r="K26" i="19"/>
  <c r="H66" i="19"/>
  <c r="K66" i="19" s="1"/>
  <c r="K48" i="19"/>
  <c r="P37" i="19"/>
  <c r="O37" i="19"/>
  <c r="L33" i="19"/>
  <c r="P33" i="19" s="1"/>
  <c r="T33" i="19" s="1"/>
  <c r="X33" i="19" s="1"/>
  <c r="L35" i="19"/>
  <c r="O35" i="19" s="1"/>
  <c r="L39" i="19"/>
  <c r="L38" i="19"/>
  <c r="G22" i="19"/>
  <c r="G21" i="19"/>
  <c r="D55" i="19"/>
  <c r="G30" i="19"/>
  <c r="L11" i="19"/>
  <c r="O9" i="19"/>
  <c r="T22" i="19"/>
  <c r="S22" i="19" s="1"/>
  <c r="X34" i="19"/>
  <c r="W34" i="19"/>
  <c r="S9" i="19"/>
  <c r="P11" i="19"/>
  <c r="AB23" i="19"/>
  <c r="AA23" i="19"/>
  <c r="K9" i="19"/>
  <c r="H11" i="19"/>
  <c r="X11" i="19"/>
  <c r="AA9" i="19"/>
  <c r="P28" i="19"/>
  <c r="H41" i="19"/>
  <c r="K34" i="19"/>
  <c r="O34" i="19"/>
  <c r="K21" i="19"/>
  <c r="T24" i="19"/>
  <c r="P25" i="19"/>
  <c r="P26" i="19"/>
  <c r="K28" i="19"/>
  <c r="P35" i="19"/>
  <c r="L36" i="19"/>
  <c r="G41" i="19"/>
  <c r="T11" i="19"/>
  <c r="O22" i="19"/>
  <c r="W23" i="19"/>
  <c r="S33" i="19"/>
  <c r="S34" i="19"/>
  <c r="D11" i="19"/>
  <c r="D15" i="19" s="1"/>
  <c r="K22" i="19"/>
  <c r="S23" i="19"/>
  <c r="P27" i="19"/>
  <c r="O38" i="19"/>
  <c r="P38" i="19"/>
  <c r="K62" i="19"/>
  <c r="L62" i="19"/>
  <c r="L76" i="19"/>
  <c r="K76" i="19"/>
  <c r="L74" i="19"/>
  <c r="K74" i="19"/>
  <c r="K60" i="19"/>
  <c r="L60" i="19"/>
  <c r="O63" i="19"/>
  <c r="L65" i="19"/>
  <c r="K65" i="19"/>
  <c r="O71" i="19"/>
  <c r="P71" i="19"/>
  <c r="L72" i="19"/>
  <c r="K72" i="19"/>
  <c r="O79" i="19"/>
  <c r="P79" i="19"/>
  <c r="L80" i="19"/>
  <c r="K80" i="19"/>
  <c r="L59" i="19"/>
  <c r="L61" i="19"/>
  <c r="K64" i="19"/>
  <c r="L64" i="19"/>
  <c r="K70" i="19"/>
  <c r="L78" i="19"/>
  <c r="K78" i="19"/>
  <c r="K69" i="19"/>
  <c r="K71" i="19"/>
  <c r="K73" i="19"/>
  <c r="K75" i="19"/>
  <c r="K77" i="19"/>
  <c r="K79" i="19"/>
  <c r="D82" i="19"/>
  <c r="AA9" i="18"/>
  <c r="X11" i="18"/>
  <c r="T21" i="18"/>
  <c r="S21" i="18"/>
  <c r="L13" i="18"/>
  <c r="O11" i="18"/>
  <c r="O22" i="18"/>
  <c r="P22" i="18"/>
  <c r="T23" i="18"/>
  <c r="S23" i="18"/>
  <c r="X35" i="18"/>
  <c r="W35" i="18"/>
  <c r="S9" i="18"/>
  <c r="P11" i="18"/>
  <c r="W9" i="18"/>
  <c r="T11" i="18"/>
  <c r="S36" i="18"/>
  <c r="T36" i="18"/>
  <c r="O9" i="18"/>
  <c r="D15" i="18"/>
  <c r="K22" i="18"/>
  <c r="K23" i="18"/>
  <c r="L24" i="18"/>
  <c r="L30" i="18" s="1"/>
  <c r="P28" i="18"/>
  <c r="H30" i="18"/>
  <c r="O35" i="18"/>
  <c r="O36" i="18"/>
  <c r="K48" i="18"/>
  <c r="L48" i="18"/>
  <c r="P52" i="18"/>
  <c r="O52" i="18"/>
  <c r="P26" i="18"/>
  <c r="L37" i="18"/>
  <c r="L41" i="18" s="1"/>
  <c r="H41" i="18"/>
  <c r="O23" i="18"/>
  <c r="S35" i="18"/>
  <c r="W38" i="18"/>
  <c r="O39" i="18"/>
  <c r="P39" i="18"/>
  <c r="P51" i="18"/>
  <c r="O51" i="18"/>
  <c r="G13" i="18"/>
  <c r="AB13" i="18" s="1"/>
  <c r="O21" i="18"/>
  <c r="P33" i="18"/>
  <c r="G41" i="18"/>
  <c r="K59" i="18"/>
  <c r="H66" i="18"/>
  <c r="K66" i="18" s="1"/>
  <c r="L75" i="18"/>
  <c r="K75" i="18"/>
  <c r="L62" i="18"/>
  <c r="K62" i="18"/>
  <c r="L64" i="18"/>
  <c r="K64" i="18"/>
  <c r="L73" i="18"/>
  <c r="K73" i="18"/>
  <c r="K51" i="18"/>
  <c r="K52" i="18"/>
  <c r="K60" i="18"/>
  <c r="T63" i="18"/>
  <c r="X69" i="18"/>
  <c r="W69" i="18"/>
  <c r="L71" i="18"/>
  <c r="K71" i="18"/>
  <c r="L79" i="18"/>
  <c r="K79" i="18"/>
  <c r="O76" i="18"/>
  <c r="L77" i="18"/>
  <c r="K77" i="18"/>
  <c r="D82" i="18"/>
  <c r="K81" i="18"/>
  <c r="K70" i="18"/>
  <c r="K72" i="18"/>
  <c r="K74" i="18"/>
  <c r="K76" i="18"/>
  <c r="K78" i="18"/>
  <c r="K80" i="18"/>
  <c r="H82" i="18"/>
  <c r="G69" i="17"/>
  <c r="H66" i="17"/>
  <c r="K66" i="17" s="1"/>
  <c r="K63" i="17"/>
  <c r="K65" i="17"/>
  <c r="O52" i="17"/>
  <c r="O51" i="17"/>
  <c r="K39" i="17"/>
  <c r="O23" i="17"/>
  <c r="L24" i="17"/>
  <c r="P24" i="17" s="1"/>
  <c r="S24" i="17" s="1"/>
  <c r="O26" i="17"/>
  <c r="L27" i="17"/>
  <c r="L25" i="17"/>
  <c r="P25" i="17" s="1"/>
  <c r="S25" i="17" s="1"/>
  <c r="O9" i="17"/>
  <c r="L11" i="17"/>
  <c r="X11" i="17"/>
  <c r="AA9" i="17"/>
  <c r="D13" i="17"/>
  <c r="D15" i="17" s="1"/>
  <c r="T11" i="17"/>
  <c r="O21" i="17"/>
  <c r="T22" i="17"/>
  <c r="T26" i="17"/>
  <c r="O28" i="17"/>
  <c r="H41" i="17"/>
  <c r="L33" i="17"/>
  <c r="P38" i="17"/>
  <c r="O38" i="17"/>
  <c r="O39" i="17"/>
  <c r="P39" i="17"/>
  <c r="D55" i="17"/>
  <c r="G55" i="17" s="1"/>
  <c r="T51" i="17"/>
  <c r="S51" i="17"/>
  <c r="T23" i="17"/>
  <c r="O25" i="17"/>
  <c r="H30" i="17"/>
  <c r="P35" i="17"/>
  <c r="T52" i="17"/>
  <c r="S52" i="17"/>
  <c r="P11" i="17"/>
  <c r="T21" i="17"/>
  <c r="T28" i="17"/>
  <c r="L34" i="17"/>
  <c r="K34" i="17"/>
  <c r="P36" i="17"/>
  <c r="O36" i="17"/>
  <c r="O37" i="17"/>
  <c r="P37" i="17"/>
  <c r="K48" i="17"/>
  <c r="L48" i="17"/>
  <c r="K62" i="17"/>
  <c r="L62" i="17"/>
  <c r="L70" i="17"/>
  <c r="K70" i="17"/>
  <c r="O77" i="17"/>
  <c r="L78" i="17"/>
  <c r="K78" i="17"/>
  <c r="K64" i="17"/>
  <c r="L64" i="17"/>
  <c r="L76" i="17"/>
  <c r="K76" i="17"/>
  <c r="L81" i="17"/>
  <c r="K36" i="17"/>
  <c r="K38" i="17"/>
  <c r="K59" i="17"/>
  <c r="K60" i="17"/>
  <c r="L74" i="17"/>
  <c r="K74" i="17"/>
  <c r="L59" i="17"/>
  <c r="P61" i="17"/>
  <c r="P71" i="17"/>
  <c r="L72" i="17"/>
  <c r="K72" i="17"/>
  <c r="L80" i="17"/>
  <c r="K80" i="17"/>
  <c r="K69" i="17"/>
  <c r="K71" i="17"/>
  <c r="K73" i="17"/>
  <c r="K75" i="17"/>
  <c r="K77" i="17"/>
  <c r="K79" i="17"/>
  <c r="D82" i="17"/>
  <c r="G81" i="17"/>
  <c r="K59" i="15"/>
  <c r="W10" i="15"/>
  <c r="O10" i="15"/>
  <c r="K10" i="15"/>
  <c r="S36" i="15"/>
  <c r="T36" i="15"/>
  <c r="W36" i="15" s="1"/>
  <c r="P34" i="15"/>
  <c r="P38" i="15"/>
  <c r="L37" i="15"/>
  <c r="O37" i="15" s="1"/>
  <c r="O26" i="15"/>
  <c r="P26" i="15"/>
  <c r="T26" i="15" s="1"/>
  <c r="P24" i="15"/>
  <c r="T24" i="15" s="1"/>
  <c r="K26" i="15"/>
  <c r="D55" i="15"/>
  <c r="P22" i="15"/>
  <c r="S22" i="15" s="1"/>
  <c r="D11" i="15"/>
  <c r="L23" i="15"/>
  <c r="K23" i="15"/>
  <c r="X11" i="15"/>
  <c r="AA9" i="15"/>
  <c r="K21" i="15"/>
  <c r="H30" i="15"/>
  <c r="L21" i="15"/>
  <c r="K25" i="15"/>
  <c r="L25" i="15"/>
  <c r="L60" i="15"/>
  <c r="K60" i="15"/>
  <c r="S24" i="15"/>
  <c r="K62" i="15"/>
  <c r="L62" i="15"/>
  <c r="L27" i="15"/>
  <c r="T28" i="15"/>
  <c r="K33" i="15"/>
  <c r="P35" i="15"/>
  <c r="P39" i="15"/>
  <c r="G41" i="15"/>
  <c r="K48" i="15"/>
  <c r="H66" i="15"/>
  <c r="H82" i="15"/>
  <c r="L70" i="15"/>
  <c r="K70" i="15"/>
  <c r="P77" i="15"/>
  <c r="L78" i="15"/>
  <c r="K78" i="15"/>
  <c r="K64" i="15"/>
  <c r="L64" i="15"/>
  <c r="P75" i="15"/>
  <c r="L76" i="15"/>
  <c r="K76" i="15"/>
  <c r="L81" i="15"/>
  <c r="K81" i="15"/>
  <c r="L74" i="15"/>
  <c r="K74" i="15"/>
  <c r="O33" i="15"/>
  <c r="S65" i="15"/>
  <c r="T65" i="15"/>
  <c r="L72" i="15"/>
  <c r="K72" i="15"/>
  <c r="P79" i="15"/>
  <c r="L80" i="15"/>
  <c r="K80" i="15"/>
  <c r="O65" i="15"/>
  <c r="K69" i="15"/>
  <c r="K71" i="15"/>
  <c r="K73" i="15"/>
  <c r="K75" i="15"/>
  <c r="K77" i="15"/>
  <c r="K79" i="15"/>
  <c r="D82" i="15"/>
  <c r="L69" i="15"/>
  <c r="G81" i="15"/>
  <c r="T12" i="13"/>
  <c r="F14" i="22" l="1"/>
  <c r="O75" i="17"/>
  <c r="P80" i="18"/>
  <c r="P71" i="15"/>
  <c r="P61" i="21"/>
  <c r="T60" i="17"/>
  <c r="P79" i="21"/>
  <c r="S28" i="20"/>
  <c r="S36" i="20"/>
  <c r="K66" i="15"/>
  <c r="P59" i="18"/>
  <c r="S25" i="18"/>
  <c r="X25" i="18"/>
  <c r="AB25" i="18" s="1"/>
  <c r="O34" i="18"/>
  <c r="P34" i="18"/>
  <c r="D85" i="21"/>
  <c r="T9" i="20"/>
  <c r="S9" i="20" s="1"/>
  <c r="H25" i="36"/>
  <c r="H71" i="36" s="1"/>
  <c r="H78" i="36" s="1"/>
  <c r="O9" i="20"/>
  <c r="P11" i="20"/>
  <c r="O11" i="20" s="1"/>
  <c r="L81" i="19"/>
  <c r="O70" i="20"/>
  <c r="P79" i="17"/>
  <c r="T79" i="17" s="1"/>
  <c r="P73" i="17"/>
  <c r="T73" i="17" s="1"/>
  <c r="P73" i="15"/>
  <c r="O70" i="18"/>
  <c r="O72" i="18"/>
  <c r="O74" i="18"/>
  <c r="O76" i="20"/>
  <c r="O77" i="21"/>
  <c r="O77" i="19"/>
  <c r="O75" i="21"/>
  <c r="P63" i="15"/>
  <c r="K81" i="17"/>
  <c r="P63" i="17"/>
  <c r="S63" i="17" s="1"/>
  <c r="P68" i="20"/>
  <c r="S68" i="20" s="1"/>
  <c r="O63" i="18"/>
  <c r="O81" i="18"/>
  <c r="P75" i="19"/>
  <c r="T75" i="19" s="1"/>
  <c r="P73" i="21"/>
  <c r="T73" i="21" s="1"/>
  <c r="L81" i="21"/>
  <c r="O59" i="15"/>
  <c r="O65" i="21"/>
  <c r="T65" i="17"/>
  <c r="X65" i="17" s="1"/>
  <c r="O74" i="20"/>
  <c r="S65" i="18"/>
  <c r="H82" i="19"/>
  <c r="G82" i="19" s="1"/>
  <c r="P71" i="21"/>
  <c r="T71" i="21" s="1"/>
  <c r="O65" i="18"/>
  <c r="O73" i="19"/>
  <c r="P72" i="20"/>
  <c r="T63" i="21"/>
  <c r="W63" i="21" s="1"/>
  <c r="O78" i="18"/>
  <c r="O61" i="18"/>
  <c r="T60" i="18"/>
  <c r="T48" i="19"/>
  <c r="X48" i="19" s="1"/>
  <c r="W48" i="19" s="1"/>
  <c r="O66" i="20"/>
  <c r="P61" i="15"/>
  <c r="O65" i="17"/>
  <c r="O60" i="17"/>
  <c r="O60" i="18"/>
  <c r="T59" i="15"/>
  <c r="G45" i="26"/>
  <c r="S26" i="15"/>
  <c r="O26" i="20"/>
  <c r="W26" i="20"/>
  <c r="T27" i="18"/>
  <c r="S27" i="18"/>
  <c r="L30" i="21"/>
  <c r="O30" i="21" s="1"/>
  <c r="W33" i="19"/>
  <c r="L82" i="18"/>
  <c r="O82" i="18" s="1"/>
  <c r="O48" i="21"/>
  <c r="P48" i="21"/>
  <c r="O98" i="13"/>
  <c r="K98" i="13"/>
  <c r="O99" i="13"/>
  <c r="O97" i="13"/>
  <c r="K97" i="13"/>
  <c r="G11" i="20"/>
  <c r="K11" i="20"/>
  <c r="L44" i="21"/>
  <c r="L47" i="21"/>
  <c r="O47" i="21" s="1"/>
  <c r="L49" i="21"/>
  <c r="O49" i="21" s="1"/>
  <c r="O69" i="21"/>
  <c r="L82" i="21"/>
  <c r="S61" i="21"/>
  <c r="T61" i="21"/>
  <c r="T75" i="21"/>
  <c r="S75" i="21"/>
  <c r="G82" i="21"/>
  <c r="D95" i="21"/>
  <c r="D97" i="21" s="1"/>
  <c r="S73" i="21"/>
  <c r="P81" i="21"/>
  <c r="O81" i="21"/>
  <c r="T77" i="21"/>
  <c r="S77" i="21"/>
  <c r="T36" i="21"/>
  <c r="S36" i="21"/>
  <c r="AB33" i="21"/>
  <c r="AA33" i="21"/>
  <c r="P24" i="21"/>
  <c r="O24" i="21"/>
  <c r="X27" i="21"/>
  <c r="W27" i="21"/>
  <c r="P22" i="21"/>
  <c r="O22" i="21"/>
  <c r="P28" i="21"/>
  <c r="O28" i="21"/>
  <c r="H13" i="21"/>
  <c r="X63" i="21"/>
  <c r="O60" i="21"/>
  <c r="X65" i="21"/>
  <c r="W65" i="21"/>
  <c r="AB39" i="21"/>
  <c r="AA39" i="21"/>
  <c r="AB35" i="21"/>
  <c r="AA35" i="21"/>
  <c r="X52" i="21"/>
  <c r="W52" i="21"/>
  <c r="P80" i="21"/>
  <c r="O80" i="21"/>
  <c r="P72" i="21"/>
  <c r="O72" i="21"/>
  <c r="P64" i="21"/>
  <c r="O64" i="21"/>
  <c r="K60" i="21"/>
  <c r="P76" i="21"/>
  <c r="O76" i="21"/>
  <c r="T38" i="21"/>
  <c r="S38" i="21"/>
  <c r="T34" i="21"/>
  <c r="S34" i="21"/>
  <c r="K44" i="21"/>
  <c r="H53" i="21"/>
  <c r="X59" i="21"/>
  <c r="W59" i="21" s="1"/>
  <c r="X23" i="21"/>
  <c r="W23" i="21"/>
  <c r="P26" i="21"/>
  <c r="O26" i="21"/>
  <c r="S25" i="21"/>
  <c r="T25" i="21"/>
  <c r="X21" i="21"/>
  <c r="W21" i="21"/>
  <c r="X13" i="21"/>
  <c r="X15" i="21" s="1"/>
  <c r="AA15" i="21" s="1"/>
  <c r="AA11" i="21"/>
  <c r="T79" i="21"/>
  <c r="S79" i="21"/>
  <c r="P74" i="21"/>
  <c r="O74" i="21"/>
  <c r="P78" i="21"/>
  <c r="O78" i="21"/>
  <c r="O70" i="21"/>
  <c r="AB37" i="21"/>
  <c r="AA37" i="21"/>
  <c r="P41" i="21"/>
  <c r="P62" i="21"/>
  <c r="O62" i="21"/>
  <c r="X51" i="21"/>
  <c r="W51" i="21"/>
  <c r="S11" i="21"/>
  <c r="P13" i="21"/>
  <c r="AB15" i="21"/>
  <c r="T13" i="21"/>
  <c r="T15" i="21" s="1"/>
  <c r="W11" i="21"/>
  <c r="O60" i="20"/>
  <c r="G62" i="20"/>
  <c r="W28" i="20"/>
  <c r="S23" i="20"/>
  <c r="T23" i="20"/>
  <c r="P25" i="20"/>
  <c r="O25" i="20"/>
  <c r="T70" i="20"/>
  <c r="S70" i="20"/>
  <c r="X36" i="20"/>
  <c r="W36" i="20"/>
  <c r="T34" i="20"/>
  <c r="S34" i="20"/>
  <c r="AA26" i="20"/>
  <c r="AB26" i="20"/>
  <c r="D81" i="20"/>
  <c r="G78" i="20"/>
  <c r="D91" i="20"/>
  <c r="T74" i="20"/>
  <c r="S74" i="20"/>
  <c r="T66" i="20"/>
  <c r="S66" i="20"/>
  <c r="P77" i="20"/>
  <c r="O77" i="20"/>
  <c r="O69" i="20"/>
  <c r="P69" i="20"/>
  <c r="O73" i="20"/>
  <c r="P73" i="20"/>
  <c r="O65" i="20"/>
  <c r="L78" i="20"/>
  <c r="P65" i="20"/>
  <c r="T52" i="20"/>
  <c r="S52" i="20"/>
  <c r="P48" i="20"/>
  <c r="O48" i="20"/>
  <c r="L41" i="20"/>
  <c r="P33" i="20"/>
  <c r="O33" i="20"/>
  <c r="H13" i="20"/>
  <c r="O71" i="20"/>
  <c r="P71" i="20"/>
  <c r="K78" i="20"/>
  <c r="T51" i="20"/>
  <c r="S51" i="20"/>
  <c r="X27" i="20"/>
  <c r="W27" i="20"/>
  <c r="K30" i="20"/>
  <c r="H44" i="20"/>
  <c r="P39" i="20"/>
  <c r="O39" i="20"/>
  <c r="S38" i="20"/>
  <c r="T38" i="20"/>
  <c r="H49" i="20"/>
  <c r="K49" i="20" s="1"/>
  <c r="H46" i="20"/>
  <c r="K46" i="20" s="1"/>
  <c r="H50" i="20"/>
  <c r="K50" i="20" s="1"/>
  <c r="H47" i="20"/>
  <c r="K47" i="20" s="1"/>
  <c r="H45" i="20"/>
  <c r="K45" i="20" s="1"/>
  <c r="K41" i="20"/>
  <c r="P22" i="20"/>
  <c r="O22" i="20"/>
  <c r="AA28" i="20"/>
  <c r="AB28" i="20"/>
  <c r="O75" i="20"/>
  <c r="P75" i="20"/>
  <c r="O67" i="20"/>
  <c r="P67" i="20"/>
  <c r="T76" i="20"/>
  <c r="S76" i="20"/>
  <c r="T68" i="20"/>
  <c r="T72" i="20"/>
  <c r="S72" i="20"/>
  <c r="P37" i="20"/>
  <c r="O37" i="20"/>
  <c r="P24" i="20"/>
  <c r="O24" i="20"/>
  <c r="D92" i="20"/>
  <c r="G13" i="20"/>
  <c r="T35" i="20"/>
  <c r="S35" i="20"/>
  <c r="L30" i="20"/>
  <c r="S21" i="20"/>
  <c r="T21" i="20"/>
  <c r="P39" i="19"/>
  <c r="O39" i="19"/>
  <c r="S37" i="19"/>
  <c r="T37" i="19"/>
  <c r="O33" i="19"/>
  <c r="L41" i="19"/>
  <c r="T79" i="19"/>
  <c r="S79" i="19"/>
  <c r="T77" i="19"/>
  <c r="S77" i="19"/>
  <c r="L66" i="19"/>
  <c r="O66" i="19" s="1"/>
  <c r="O59" i="19"/>
  <c r="P59" i="19"/>
  <c r="S63" i="19"/>
  <c r="T63" i="19"/>
  <c r="P74" i="19"/>
  <c r="O74" i="19"/>
  <c r="P81" i="19"/>
  <c r="O81" i="19"/>
  <c r="T38" i="19"/>
  <c r="S38" i="19"/>
  <c r="O21" i="19"/>
  <c r="L30" i="19"/>
  <c r="P21" i="19"/>
  <c r="AA11" i="19"/>
  <c r="X13" i="19"/>
  <c r="AB33" i="19"/>
  <c r="AA33" i="19"/>
  <c r="P78" i="19"/>
  <c r="O78" i="19"/>
  <c r="T71" i="19"/>
  <c r="S71" i="19"/>
  <c r="P64" i="19"/>
  <c r="O64" i="19"/>
  <c r="P60" i="19"/>
  <c r="O60" i="19"/>
  <c r="T73" i="19"/>
  <c r="S73" i="19"/>
  <c r="P62" i="19"/>
  <c r="O62" i="19"/>
  <c r="D85" i="19"/>
  <c r="G11" i="19"/>
  <c r="T13" i="19"/>
  <c r="W11" i="19"/>
  <c r="O36" i="19"/>
  <c r="P36" i="19"/>
  <c r="T26" i="19"/>
  <c r="S26" i="19"/>
  <c r="H45" i="19"/>
  <c r="G49" i="19"/>
  <c r="K46" i="19"/>
  <c r="G50" i="19"/>
  <c r="K41" i="19"/>
  <c r="K11" i="19"/>
  <c r="AA34" i="19"/>
  <c r="AB34" i="19"/>
  <c r="D95" i="19"/>
  <c r="P61" i="19"/>
  <c r="O61" i="19"/>
  <c r="L82" i="19"/>
  <c r="O69" i="19"/>
  <c r="P80" i="19"/>
  <c r="O80" i="19"/>
  <c r="P72" i="19"/>
  <c r="O72" i="19"/>
  <c r="P65" i="19"/>
  <c r="O65" i="19"/>
  <c r="P76" i="19"/>
  <c r="O76" i="19"/>
  <c r="T27" i="19"/>
  <c r="S27" i="19"/>
  <c r="S35" i="19"/>
  <c r="T35" i="19"/>
  <c r="T25" i="19"/>
  <c r="S25" i="19"/>
  <c r="T28" i="19"/>
  <c r="S28" i="19"/>
  <c r="P13" i="19"/>
  <c r="S11" i="19"/>
  <c r="X22" i="19"/>
  <c r="W22" i="19" s="1"/>
  <c r="P70" i="19"/>
  <c r="O70" i="19" s="1"/>
  <c r="W24" i="19"/>
  <c r="X24" i="19"/>
  <c r="O46" i="19"/>
  <c r="L45" i="19"/>
  <c r="O45" i="19" s="1"/>
  <c r="O41" i="19"/>
  <c r="L13" i="19"/>
  <c r="O11" i="19"/>
  <c r="AB96" i="18"/>
  <c r="O79" i="18"/>
  <c r="P79" i="18"/>
  <c r="T61" i="18"/>
  <c r="S61" i="18"/>
  <c r="S81" i="18"/>
  <c r="T81" i="18"/>
  <c r="O75" i="18"/>
  <c r="P75" i="18"/>
  <c r="T51" i="18"/>
  <c r="S51" i="18"/>
  <c r="T28" i="18"/>
  <c r="S28" i="18"/>
  <c r="X36" i="18"/>
  <c r="W36" i="18"/>
  <c r="P13" i="18"/>
  <c r="S11" i="18"/>
  <c r="W21" i="18"/>
  <c r="X21" i="18"/>
  <c r="D85" i="18"/>
  <c r="G82" i="18"/>
  <c r="D95" i="18"/>
  <c r="D97" i="18" s="1"/>
  <c r="T76" i="18"/>
  <c r="S76" i="18"/>
  <c r="T78" i="18"/>
  <c r="S78" i="18"/>
  <c r="AB69" i="18"/>
  <c r="AA69" i="18"/>
  <c r="X63" i="18"/>
  <c r="W63" i="18"/>
  <c r="T80" i="18"/>
  <c r="S80" i="18"/>
  <c r="T72" i="18"/>
  <c r="S72" i="18"/>
  <c r="P62" i="18"/>
  <c r="O62" i="18"/>
  <c r="T74" i="18"/>
  <c r="S74" i="18"/>
  <c r="L44" i="18"/>
  <c r="O30" i="18"/>
  <c r="T39" i="18"/>
  <c r="S39" i="18"/>
  <c r="H50" i="18"/>
  <c r="K50" i="18" s="1"/>
  <c r="H47" i="18"/>
  <c r="K47" i="18" s="1"/>
  <c r="H49" i="18"/>
  <c r="K49" i="18" s="1"/>
  <c r="H46" i="18"/>
  <c r="K46" i="18" s="1"/>
  <c r="H45" i="18"/>
  <c r="K45" i="18" s="1"/>
  <c r="K41" i="18"/>
  <c r="T52" i="18"/>
  <c r="S52" i="18"/>
  <c r="W23" i="18"/>
  <c r="X23" i="18"/>
  <c r="T70" i="18"/>
  <c r="S70" i="18"/>
  <c r="L66" i="18"/>
  <c r="O66" i="18" s="1"/>
  <c r="S33" i="18"/>
  <c r="T33" i="18"/>
  <c r="P37" i="18"/>
  <c r="P41" i="18" s="1"/>
  <c r="O37" i="18"/>
  <c r="P48" i="18"/>
  <c r="O48" i="18"/>
  <c r="O24" i="18"/>
  <c r="P24" i="18"/>
  <c r="T13" i="18"/>
  <c r="W11" i="18"/>
  <c r="AA25" i="18"/>
  <c r="T22" i="18"/>
  <c r="S22" i="18"/>
  <c r="L96" i="18"/>
  <c r="O13" i="18"/>
  <c r="X13" i="18"/>
  <c r="AA11" i="18"/>
  <c r="K82" i="18"/>
  <c r="O77" i="18"/>
  <c r="P77" i="18"/>
  <c r="O71" i="18"/>
  <c r="P71" i="18"/>
  <c r="X65" i="18"/>
  <c r="W65" i="18"/>
  <c r="T59" i="18"/>
  <c r="S59" i="18"/>
  <c r="O73" i="18"/>
  <c r="P73" i="18"/>
  <c r="P64" i="18"/>
  <c r="O64" i="18"/>
  <c r="L49" i="18"/>
  <c r="O49" i="18" s="1"/>
  <c r="L46" i="18"/>
  <c r="O46" i="18" s="1"/>
  <c r="L50" i="18"/>
  <c r="O50" i="18" s="1"/>
  <c r="L45" i="18"/>
  <c r="O45" i="18" s="1"/>
  <c r="O41" i="18"/>
  <c r="L47" i="18"/>
  <c r="O47" i="18" s="1"/>
  <c r="AB38" i="18"/>
  <c r="AA38" i="18"/>
  <c r="X60" i="18"/>
  <c r="W60" i="18"/>
  <c r="T26" i="18"/>
  <c r="S26" i="18"/>
  <c r="H44" i="18"/>
  <c r="K30" i="18"/>
  <c r="AA35" i="18"/>
  <c r="AB35" i="18"/>
  <c r="L30" i="17"/>
  <c r="L44" i="17" s="1"/>
  <c r="O24" i="17"/>
  <c r="T25" i="17"/>
  <c r="X25" i="17" s="1"/>
  <c r="P27" i="17"/>
  <c r="O27" i="17"/>
  <c r="T24" i="17"/>
  <c r="W24" i="17" s="1"/>
  <c r="P76" i="17"/>
  <c r="O76" i="17"/>
  <c r="D85" i="17"/>
  <c r="D87" i="17" s="1"/>
  <c r="G82" i="17"/>
  <c r="D95" i="17"/>
  <c r="P80" i="17"/>
  <c r="O80" i="17"/>
  <c r="P74" i="17"/>
  <c r="O74" i="17"/>
  <c r="P81" i="17"/>
  <c r="O81" i="17"/>
  <c r="P48" i="17"/>
  <c r="O48" i="17"/>
  <c r="O30" i="17"/>
  <c r="P13" i="17"/>
  <c r="S11" i="17"/>
  <c r="K30" i="17"/>
  <c r="H44" i="17"/>
  <c r="T39" i="17"/>
  <c r="S39" i="17"/>
  <c r="L41" i="17"/>
  <c r="O33" i="17"/>
  <c r="P33" i="17"/>
  <c r="D96" i="17"/>
  <c r="T71" i="17"/>
  <c r="S71" i="17"/>
  <c r="S61" i="17"/>
  <c r="T61" i="17"/>
  <c r="S73" i="17"/>
  <c r="P64" i="17"/>
  <c r="O64" i="17"/>
  <c r="P78" i="17"/>
  <c r="O78" i="17"/>
  <c r="P70" i="17"/>
  <c r="O70" i="17"/>
  <c r="P62" i="17"/>
  <c r="O62" i="17"/>
  <c r="T36" i="17"/>
  <c r="S36" i="17"/>
  <c r="W25" i="17"/>
  <c r="X28" i="17"/>
  <c r="W28" i="17"/>
  <c r="H50" i="17"/>
  <c r="K50" i="17" s="1"/>
  <c r="H47" i="17"/>
  <c r="K47" i="17" s="1"/>
  <c r="K41" i="17"/>
  <c r="H45" i="17"/>
  <c r="K45" i="17" s="1"/>
  <c r="H49" i="17"/>
  <c r="K49" i="17" s="1"/>
  <c r="H46" i="17"/>
  <c r="K46" i="17" s="1"/>
  <c r="X22" i="17"/>
  <c r="W22" i="17"/>
  <c r="AA11" i="17"/>
  <c r="X13" i="17"/>
  <c r="T77" i="17"/>
  <c r="S77" i="17"/>
  <c r="T37" i="17"/>
  <c r="S37" i="17"/>
  <c r="W60" i="17"/>
  <c r="X60" i="17"/>
  <c r="W52" i="17"/>
  <c r="X52" i="17"/>
  <c r="X51" i="17"/>
  <c r="W51" i="17"/>
  <c r="O69" i="17"/>
  <c r="L82" i="17"/>
  <c r="K82" i="17" s="1"/>
  <c r="T75" i="17"/>
  <c r="S75" i="17"/>
  <c r="P34" i="17"/>
  <c r="O34" i="17"/>
  <c r="X21" i="17"/>
  <c r="W21" i="17"/>
  <c r="T35" i="17"/>
  <c r="S35" i="17"/>
  <c r="X23" i="17"/>
  <c r="W23" i="17"/>
  <c r="T38" i="17"/>
  <c r="S38" i="17"/>
  <c r="X26" i="17"/>
  <c r="W26" i="17"/>
  <c r="T13" i="17"/>
  <c r="W11" i="17"/>
  <c r="L13" i="17"/>
  <c r="O11" i="17"/>
  <c r="L66" i="17"/>
  <c r="O66" i="17" s="1"/>
  <c r="O59" i="17"/>
  <c r="P59" i="17"/>
  <c r="P72" i="17"/>
  <c r="O72" i="17"/>
  <c r="O9" i="15"/>
  <c r="L66" i="15"/>
  <c r="L11" i="15"/>
  <c r="S34" i="15"/>
  <c r="T34" i="15"/>
  <c r="P37" i="15"/>
  <c r="P41" i="15" s="1"/>
  <c r="L41" i="15"/>
  <c r="L44" i="15" s="1"/>
  <c r="X36" i="15"/>
  <c r="AB36" i="15" s="1"/>
  <c r="S38" i="15"/>
  <c r="T38" i="15"/>
  <c r="T22" i="15"/>
  <c r="X22" i="15" s="1"/>
  <c r="P72" i="15"/>
  <c r="O72" i="15"/>
  <c r="AA36" i="15"/>
  <c r="P74" i="15"/>
  <c r="O74" i="15"/>
  <c r="P78" i="15"/>
  <c r="O78" i="15"/>
  <c r="S61" i="15"/>
  <c r="T61" i="15"/>
  <c r="T39" i="15"/>
  <c r="S39" i="15"/>
  <c r="X28" i="15"/>
  <c r="W28" i="15"/>
  <c r="P21" i="15"/>
  <c r="O21" i="15"/>
  <c r="L30" i="15"/>
  <c r="T73" i="15"/>
  <c r="S73" i="15"/>
  <c r="P64" i="15"/>
  <c r="O64" i="15"/>
  <c r="T77" i="15"/>
  <c r="S77" i="15"/>
  <c r="K82" i="15"/>
  <c r="P27" i="15"/>
  <c r="O27" i="15"/>
  <c r="K30" i="15"/>
  <c r="D13" i="15"/>
  <c r="D85" i="15" s="1"/>
  <c r="G82" i="15"/>
  <c r="D95" i="15"/>
  <c r="X65" i="15"/>
  <c r="W65" i="15"/>
  <c r="P76" i="15"/>
  <c r="O76" i="15"/>
  <c r="P48" i="15"/>
  <c r="O48" i="15" s="1"/>
  <c r="T37" i="15"/>
  <c r="S33" i="15"/>
  <c r="P62" i="15"/>
  <c r="O62" i="15"/>
  <c r="P25" i="15"/>
  <c r="O25" i="15"/>
  <c r="X26" i="15"/>
  <c r="W26" i="15"/>
  <c r="H49" i="15"/>
  <c r="G49" i="15" s="1"/>
  <c r="H50" i="15"/>
  <c r="G50" i="15" s="1"/>
  <c r="W24" i="15"/>
  <c r="X24" i="15"/>
  <c r="P60" i="15"/>
  <c r="O60" i="15"/>
  <c r="S63" i="15"/>
  <c r="T63" i="15"/>
  <c r="T79" i="15"/>
  <c r="S79" i="15"/>
  <c r="P81" i="15"/>
  <c r="O81" i="15"/>
  <c r="P70" i="15"/>
  <c r="O70" i="15"/>
  <c r="T35" i="15"/>
  <c r="S35" i="15"/>
  <c r="X59" i="15"/>
  <c r="W59" i="15"/>
  <c r="X13" i="15"/>
  <c r="X15" i="15" s="1"/>
  <c r="AA15" i="15" s="1"/>
  <c r="AA11" i="15"/>
  <c r="P23" i="15"/>
  <c r="O23" i="15"/>
  <c r="P80" i="15"/>
  <c r="O80" i="15"/>
  <c r="T75" i="15"/>
  <c r="S75" i="15"/>
  <c r="T71" i="15"/>
  <c r="S71" i="15"/>
  <c r="O69" i="15"/>
  <c r="L82" i="15"/>
  <c r="P69" i="15"/>
  <c r="H47" i="15"/>
  <c r="G47" i="15" s="1"/>
  <c r="K30" i="19" l="1"/>
  <c r="M30" i="19"/>
  <c r="L44" i="19"/>
  <c r="K44" i="19" s="1"/>
  <c r="F8" i="22"/>
  <c r="F35" i="22" s="1"/>
  <c r="F36" i="22" s="1"/>
  <c r="L59" i="20"/>
  <c r="F15" i="22"/>
  <c r="G12" i="22" s="1"/>
  <c r="G15" i="22" s="1"/>
  <c r="H12" i="22" s="1"/>
  <c r="S37" i="15"/>
  <c r="W22" i="15"/>
  <c r="G45" i="28"/>
  <c r="O45" i="28" s="1"/>
  <c r="O66" i="15"/>
  <c r="S34" i="18"/>
  <c r="T34" i="18"/>
  <c r="X24" i="17"/>
  <c r="W65" i="17"/>
  <c r="L50" i="21"/>
  <c r="O50" i="21" s="1"/>
  <c r="W15" i="21"/>
  <c r="K82" i="19"/>
  <c r="S48" i="19"/>
  <c r="T11" i="20"/>
  <c r="S11" i="20" s="1"/>
  <c r="H13" i="22"/>
  <c r="I13" i="22" s="1"/>
  <c r="J13" i="22" s="1"/>
  <c r="X9" i="20"/>
  <c r="W9" i="20" s="1"/>
  <c r="S79" i="17"/>
  <c r="S75" i="19"/>
  <c r="T63" i="17"/>
  <c r="S71" i="21"/>
  <c r="G44" i="26"/>
  <c r="H45" i="26"/>
  <c r="G59" i="21"/>
  <c r="H66" i="21"/>
  <c r="H95" i="21" s="1"/>
  <c r="P82" i="18"/>
  <c r="S82" i="18" s="1"/>
  <c r="O41" i="15"/>
  <c r="P44" i="15"/>
  <c r="P30" i="20"/>
  <c r="W27" i="18"/>
  <c r="X27" i="18"/>
  <c r="S48" i="21"/>
  <c r="T48" i="21"/>
  <c r="K82" i="21"/>
  <c r="L13" i="20"/>
  <c r="L15" i="20" s="1"/>
  <c r="X71" i="21"/>
  <c r="W71" i="21"/>
  <c r="G15" i="21"/>
  <c r="S81" i="21"/>
  <c r="T81" i="21"/>
  <c r="S69" i="21"/>
  <c r="P82" i="21"/>
  <c r="T62" i="21"/>
  <c r="S62" i="21"/>
  <c r="AB21" i="21"/>
  <c r="AA21" i="21"/>
  <c r="T26" i="21"/>
  <c r="S26" i="21"/>
  <c r="AB59" i="21"/>
  <c r="T64" i="21"/>
  <c r="S64" i="21"/>
  <c r="T80" i="21"/>
  <c r="S80" i="21"/>
  <c r="AB65" i="21"/>
  <c r="AA65" i="21"/>
  <c r="AB63" i="21"/>
  <c r="AA63" i="21"/>
  <c r="S22" i="21"/>
  <c r="T22" i="21"/>
  <c r="P30" i="21"/>
  <c r="P47" i="21" s="1"/>
  <c r="S47" i="21" s="1"/>
  <c r="X75" i="21"/>
  <c r="W75" i="21"/>
  <c r="P96" i="21"/>
  <c r="S13" i="21"/>
  <c r="P50" i="21"/>
  <c r="S50" i="21" s="1"/>
  <c r="P45" i="21"/>
  <c r="S45" i="21" s="1"/>
  <c r="P46" i="21"/>
  <c r="S46" i="21" s="1"/>
  <c r="S41" i="21"/>
  <c r="S70" i="21"/>
  <c r="T74" i="21"/>
  <c r="S74" i="21"/>
  <c r="X79" i="21"/>
  <c r="W79" i="21"/>
  <c r="X25" i="21"/>
  <c r="W25" i="21"/>
  <c r="X34" i="21"/>
  <c r="W34" i="21"/>
  <c r="T41" i="21"/>
  <c r="T76" i="21"/>
  <c r="S76" i="21"/>
  <c r="S24" i="21"/>
  <c r="T24" i="21"/>
  <c r="X77" i="21"/>
  <c r="W77" i="21"/>
  <c r="X73" i="21"/>
  <c r="W73" i="21"/>
  <c r="X61" i="21"/>
  <c r="W61" i="21"/>
  <c r="T96" i="21"/>
  <c r="W13" i="21"/>
  <c r="AB51" i="21"/>
  <c r="AA51" i="21"/>
  <c r="AA23" i="21"/>
  <c r="AB23" i="21"/>
  <c r="H55" i="21"/>
  <c r="K53" i="21"/>
  <c r="T72" i="21"/>
  <c r="S72" i="21"/>
  <c r="AB52" i="21"/>
  <c r="AA52" i="21"/>
  <c r="S60" i="21"/>
  <c r="H96" i="21"/>
  <c r="K13" i="21"/>
  <c r="T28" i="21"/>
  <c r="S28" i="21"/>
  <c r="AB27" i="21"/>
  <c r="AA27" i="21"/>
  <c r="X36" i="21"/>
  <c r="W36" i="21"/>
  <c r="D98" i="21"/>
  <c r="D87" i="21"/>
  <c r="D89" i="21" s="1"/>
  <c r="L53" i="21"/>
  <c r="O44" i="21"/>
  <c r="T78" i="21"/>
  <c r="S78" i="21"/>
  <c r="X96" i="21"/>
  <c r="AA13" i="21"/>
  <c r="X38" i="21"/>
  <c r="W38" i="21"/>
  <c r="S60" i="20"/>
  <c r="S25" i="20"/>
  <c r="T25" i="20"/>
  <c r="X23" i="20"/>
  <c r="W23" i="20"/>
  <c r="P44" i="20"/>
  <c r="S30" i="20"/>
  <c r="W35" i="20"/>
  <c r="X35" i="20"/>
  <c r="S24" i="20"/>
  <c r="T24" i="20"/>
  <c r="W76" i="20"/>
  <c r="X76" i="20"/>
  <c r="P41" i="20"/>
  <c r="S33" i="20"/>
  <c r="T33" i="20"/>
  <c r="P62" i="20"/>
  <c r="I43" i="27" s="1"/>
  <c r="T59" i="20"/>
  <c r="T75" i="20"/>
  <c r="S75" i="20"/>
  <c r="X38" i="20"/>
  <c r="W38" i="20"/>
  <c r="T39" i="20"/>
  <c r="S39" i="20"/>
  <c r="W51" i="20"/>
  <c r="X51" i="20"/>
  <c r="T71" i="20"/>
  <c r="S71" i="20"/>
  <c r="L45" i="20"/>
  <c r="O45" i="20" s="1"/>
  <c r="O41" i="20"/>
  <c r="L49" i="20"/>
  <c r="O49" i="20" s="1"/>
  <c r="L46" i="20"/>
  <c r="O46" i="20" s="1"/>
  <c r="L50" i="20"/>
  <c r="O50" i="20" s="1"/>
  <c r="L47" i="20"/>
  <c r="O47" i="20" s="1"/>
  <c r="W52" i="20"/>
  <c r="X52" i="20"/>
  <c r="T73" i="20"/>
  <c r="S73" i="20"/>
  <c r="S77" i="20"/>
  <c r="T77" i="20"/>
  <c r="W74" i="20"/>
  <c r="X74" i="20"/>
  <c r="L44" i="20"/>
  <c r="O30" i="20"/>
  <c r="T37" i="20"/>
  <c r="S37" i="20"/>
  <c r="W68" i="20"/>
  <c r="X68" i="20"/>
  <c r="T22" i="20"/>
  <c r="T30" i="20" s="1"/>
  <c r="S22" i="20"/>
  <c r="K44" i="20"/>
  <c r="H53" i="20"/>
  <c r="H92" i="20"/>
  <c r="K13" i="20"/>
  <c r="T65" i="20"/>
  <c r="P78" i="20"/>
  <c r="S65" i="20"/>
  <c r="T69" i="20"/>
  <c r="S69" i="20"/>
  <c r="D93" i="20"/>
  <c r="D94" i="20" s="1"/>
  <c r="AA36" i="20"/>
  <c r="AB36" i="20"/>
  <c r="T67" i="20"/>
  <c r="S67" i="20"/>
  <c r="AA27" i="20"/>
  <c r="AB27" i="20"/>
  <c r="H15" i="20"/>
  <c r="T48" i="20"/>
  <c r="S48" i="20"/>
  <c r="O78" i="20"/>
  <c r="W66" i="20"/>
  <c r="X66" i="20"/>
  <c r="X21" i="20"/>
  <c r="W21" i="20"/>
  <c r="W72" i="20"/>
  <c r="X72" i="20"/>
  <c r="D83" i="20"/>
  <c r="X34" i="20"/>
  <c r="W34" i="20"/>
  <c r="W70" i="20"/>
  <c r="X70" i="20"/>
  <c r="L47" i="19"/>
  <c r="K47" i="19" s="1"/>
  <c r="S39" i="19"/>
  <c r="T39" i="19"/>
  <c r="W37" i="19"/>
  <c r="X37" i="19"/>
  <c r="L49" i="19"/>
  <c r="K49" i="19" s="1"/>
  <c r="L50" i="19"/>
  <c r="K50" i="19" s="1"/>
  <c r="D87" i="19"/>
  <c r="AB48" i="19"/>
  <c r="AA48" i="19" s="1"/>
  <c r="W27" i="19"/>
  <c r="X27" i="19"/>
  <c r="K45" i="19"/>
  <c r="H53" i="19"/>
  <c r="G53" i="19" s="1"/>
  <c r="T64" i="19"/>
  <c r="S64" i="19"/>
  <c r="X96" i="19"/>
  <c r="AA13" i="19"/>
  <c r="X38" i="19"/>
  <c r="W38" i="19"/>
  <c r="T74" i="19"/>
  <c r="S74" i="19"/>
  <c r="T70" i="19"/>
  <c r="S70" i="19" s="1"/>
  <c r="P96" i="19"/>
  <c r="S13" i="19"/>
  <c r="W28" i="19"/>
  <c r="X28" i="19"/>
  <c r="T76" i="19"/>
  <c r="S76" i="19"/>
  <c r="T72" i="19"/>
  <c r="S72" i="19"/>
  <c r="S62" i="19"/>
  <c r="T62" i="19"/>
  <c r="S60" i="19"/>
  <c r="T60" i="19"/>
  <c r="X71" i="19"/>
  <c r="W71" i="19"/>
  <c r="S81" i="19"/>
  <c r="T81" i="19"/>
  <c r="X77" i="19"/>
  <c r="W77" i="19"/>
  <c r="L96" i="19"/>
  <c r="O13" i="19"/>
  <c r="T96" i="19"/>
  <c r="W13" i="19"/>
  <c r="D96" i="19"/>
  <c r="D97" i="19" s="1"/>
  <c r="D98" i="19" s="1"/>
  <c r="S59" i="19"/>
  <c r="P66" i="19"/>
  <c r="S66" i="19" s="1"/>
  <c r="T59" i="19"/>
  <c r="X75" i="19"/>
  <c r="W75" i="19"/>
  <c r="T80" i="19"/>
  <c r="S80" i="19"/>
  <c r="X73" i="19"/>
  <c r="W73" i="19"/>
  <c r="X79" i="19"/>
  <c r="W79" i="19"/>
  <c r="AB24" i="19"/>
  <c r="AA24" i="19"/>
  <c r="AB22" i="19"/>
  <c r="AA22" i="19" s="1"/>
  <c r="X25" i="19"/>
  <c r="W25" i="19"/>
  <c r="S65" i="19"/>
  <c r="T65" i="19"/>
  <c r="W26" i="19"/>
  <c r="X26" i="19"/>
  <c r="T78" i="19"/>
  <c r="S78" i="19"/>
  <c r="P30" i="19"/>
  <c r="T21" i="19"/>
  <c r="S21" i="19" s="1"/>
  <c r="X35" i="19"/>
  <c r="W35" i="19"/>
  <c r="T69" i="19"/>
  <c r="S69" i="19" s="1"/>
  <c r="P82" i="19"/>
  <c r="O82" i="19" s="1"/>
  <c r="S61" i="19"/>
  <c r="T61" i="19"/>
  <c r="T36" i="19"/>
  <c r="T41" i="19" s="1"/>
  <c r="S36" i="19"/>
  <c r="X63" i="19"/>
  <c r="W63" i="19"/>
  <c r="P41" i="19"/>
  <c r="T96" i="18"/>
  <c r="W13" i="18"/>
  <c r="X26" i="18"/>
  <c r="W26" i="18"/>
  <c r="S64" i="18"/>
  <c r="T64" i="18"/>
  <c r="P66" i="18"/>
  <c r="S66" i="18" s="1"/>
  <c r="W39" i="18"/>
  <c r="X39" i="18"/>
  <c r="W72" i="18"/>
  <c r="X72" i="18"/>
  <c r="AA63" i="18"/>
  <c r="AB63" i="18"/>
  <c r="X81" i="18"/>
  <c r="W81" i="18"/>
  <c r="T73" i="18"/>
  <c r="S73" i="18"/>
  <c r="W59" i="18"/>
  <c r="X59" i="18"/>
  <c r="X96" i="18"/>
  <c r="AA13" i="18"/>
  <c r="T24" i="18"/>
  <c r="T30" i="18" s="1"/>
  <c r="S24" i="18"/>
  <c r="X33" i="18"/>
  <c r="W33" i="18"/>
  <c r="W78" i="18"/>
  <c r="X78" i="18"/>
  <c r="AA36" i="18"/>
  <c r="AB36" i="18"/>
  <c r="X51" i="18"/>
  <c r="W51" i="18"/>
  <c r="H53" i="18"/>
  <c r="K44" i="18"/>
  <c r="AB60" i="18"/>
  <c r="AA60" i="18"/>
  <c r="T77" i="18"/>
  <c r="S77" i="18"/>
  <c r="W22" i="18"/>
  <c r="X22" i="18"/>
  <c r="T48" i="18"/>
  <c r="S48" i="18"/>
  <c r="W70" i="18"/>
  <c r="X70" i="18"/>
  <c r="L53" i="18"/>
  <c r="L95" i="18" s="1"/>
  <c r="L97" i="18" s="1"/>
  <c r="O44" i="18"/>
  <c r="S62" i="18"/>
  <c r="T62" i="18"/>
  <c r="W80" i="18"/>
  <c r="X80" i="18"/>
  <c r="D98" i="18"/>
  <c r="D87" i="18"/>
  <c r="P96" i="18"/>
  <c r="S13" i="18"/>
  <c r="T75" i="18"/>
  <c r="S75" i="18"/>
  <c r="P30" i="18"/>
  <c r="P47" i="18" s="1"/>
  <c r="S47" i="18" s="1"/>
  <c r="AA65" i="18"/>
  <c r="AB65" i="18"/>
  <c r="P45" i="18"/>
  <c r="S45" i="18" s="1"/>
  <c r="P50" i="18"/>
  <c r="S50" i="18" s="1"/>
  <c r="P46" i="18"/>
  <c r="S46" i="18" s="1"/>
  <c r="S41" i="18"/>
  <c r="W76" i="18"/>
  <c r="X76" i="18"/>
  <c r="AB21" i="18"/>
  <c r="AA21" i="18"/>
  <c r="X28" i="18"/>
  <c r="W28" i="18"/>
  <c r="X61" i="18"/>
  <c r="W61" i="18"/>
  <c r="T71" i="18"/>
  <c r="S71" i="18"/>
  <c r="T37" i="18"/>
  <c r="T41" i="18" s="1"/>
  <c r="S37" i="18"/>
  <c r="AB23" i="18"/>
  <c r="AA23" i="18"/>
  <c r="W52" i="18"/>
  <c r="X52" i="18"/>
  <c r="W74" i="18"/>
  <c r="X74" i="18"/>
  <c r="T79" i="18"/>
  <c r="S79" i="18"/>
  <c r="S27" i="17"/>
  <c r="T27" i="17"/>
  <c r="P30" i="17"/>
  <c r="X77" i="17"/>
  <c r="W77" i="17"/>
  <c r="AA21" i="17"/>
  <c r="AB21" i="17"/>
  <c r="X35" i="17"/>
  <c r="W35" i="17"/>
  <c r="T69" i="17"/>
  <c r="P82" i="17"/>
  <c r="O82" i="17" s="1"/>
  <c r="S69" i="17"/>
  <c r="AB51" i="17"/>
  <c r="AA51" i="17"/>
  <c r="X37" i="17"/>
  <c r="W37" i="17"/>
  <c r="AA25" i="17"/>
  <c r="AB25" i="17"/>
  <c r="T62" i="17"/>
  <c r="S62" i="17"/>
  <c r="X73" i="17"/>
  <c r="W73" i="17"/>
  <c r="X71" i="17"/>
  <c r="W71" i="17"/>
  <c r="D97" i="17"/>
  <c r="D98" i="17" s="1"/>
  <c r="T72" i="17"/>
  <c r="S72" i="17"/>
  <c r="T34" i="17"/>
  <c r="S34" i="17"/>
  <c r="AB52" i="17"/>
  <c r="AA52" i="17"/>
  <c r="AA60" i="17"/>
  <c r="AB60" i="17"/>
  <c r="X61" i="17"/>
  <c r="W61" i="17"/>
  <c r="T33" i="17"/>
  <c r="S33" i="17"/>
  <c r="P41" i="17"/>
  <c r="X39" i="17"/>
  <c r="W39" i="17"/>
  <c r="P96" i="17"/>
  <c r="S13" i="17"/>
  <c r="O44" i="17"/>
  <c r="T48" i="17"/>
  <c r="S48" i="17"/>
  <c r="T74" i="17"/>
  <c r="S74" i="17"/>
  <c r="T96" i="17"/>
  <c r="W13" i="17"/>
  <c r="AA28" i="17"/>
  <c r="AB28" i="17"/>
  <c r="W36" i="17"/>
  <c r="X36" i="17"/>
  <c r="T70" i="17"/>
  <c r="S70" i="17"/>
  <c r="T64" i="17"/>
  <c r="S64" i="17"/>
  <c r="X79" i="17"/>
  <c r="W79" i="17"/>
  <c r="H53" i="17"/>
  <c r="K44" i="17"/>
  <c r="L96" i="17"/>
  <c r="O13" i="17"/>
  <c r="AA23" i="17"/>
  <c r="AB23" i="17"/>
  <c r="L49" i="17"/>
  <c r="O49" i="17" s="1"/>
  <c r="L46" i="17"/>
  <c r="O46" i="17" s="1"/>
  <c r="L50" i="17"/>
  <c r="O50" i="17" s="1"/>
  <c r="L47" i="17"/>
  <c r="O47" i="17" s="1"/>
  <c r="L45" i="17"/>
  <c r="O45" i="17" s="1"/>
  <c r="O41" i="17"/>
  <c r="S81" i="17"/>
  <c r="T81" i="17"/>
  <c r="T80" i="17"/>
  <c r="S80" i="17"/>
  <c r="AB65" i="17"/>
  <c r="AA65" i="17"/>
  <c r="P66" i="17"/>
  <c r="S66" i="17" s="1"/>
  <c r="T59" i="17"/>
  <c r="S59" i="17"/>
  <c r="AA26" i="17"/>
  <c r="AB26" i="17"/>
  <c r="X75" i="17"/>
  <c r="W75" i="17"/>
  <c r="X96" i="17"/>
  <c r="AA13" i="17"/>
  <c r="W38" i="17"/>
  <c r="X38" i="17"/>
  <c r="AA24" i="17"/>
  <c r="AB24" i="17"/>
  <c r="AA22" i="17"/>
  <c r="AB22" i="17"/>
  <c r="T78" i="17"/>
  <c r="S78" i="17"/>
  <c r="X63" i="17"/>
  <c r="W63" i="17"/>
  <c r="T76" i="17"/>
  <c r="S76" i="17"/>
  <c r="L96" i="15"/>
  <c r="P11" i="15"/>
  <c r="K41" i="15"/>
  <c r="K45" i="15"/>
  <c r="K46" i="15"/>
  <c r="W34" i="15"/>
  <c r="X34" i="15"/>
  <c r="W38" i="15"/>
  <c r="X38" i="15"/>
  <c r="AB22" i="15"/>
  <c r="AA22" i="15"/>
  <c r="X63" i="15"/>
  <c r="W63" i="15"/>
  <c r="AB65" i="15"/>
  <c r="AA65" i="15"/>
  <c r="X96" i="15"/>
  <c r="AA13" i="15"/>
  <c r="X35" i="15"/>
  <c r="W35" i="15"/>
  <c r="AB26" i="15"/>
  <c r="AA26" i="15"/>
  <c r="T62" i="15"/>
  <c r="S62" i="15"/>
  <c r="D96" i="15"/>
  <c r="D97" i="15" s="1"/>
  <c r="D98" i="15" s="1"/>
  <c r="O30" i="15"/>
  <c r="L50" i="15"/>
  <c r="L47" i="15"/>
  <c r="K47" i="15" s="1"/>
  <c r="L49" i="15"/>
  <c r="AB28" i="15"/>
  <c r="AA28" i="15"/>
  <c r="T74" i="15"/>
  <c r="S74" i="15"/>
  <c r="T69" i="15"/>
  <c r="P82" i="15"/>
  <c r="S69" i="15"/>
  <c r="X71" i="15"/>
  <c r="W71" i="15"/>
  <c r="T80" i="15"/>
  <c r="S80" i="15"/>
  <c r="AB59" i="15"/>
  <c r="AA59" i="15"/>
  <c r="X37" i="15"/>
  <c r="W37" i="15"/>
  <c r="T76" i="15"/>
  <c r="S76" i="15"/>
  <c r="D15" i="15"/>
  <c r="H53" i="15"/>
  <c r="G53" i="15" s="1"/>
  <c r="K44" i="15"/>
  <c r="T64" i="15"/>
  <c r="S64" i="15"/>
  <c r="T70" i="15"/>
  <c r="S70" i="15"/>
  <c r="X79" i="15"/>
  <c r="W79" i="15"/>
  <c r="S60" i="15"/>
  <c r="T60" i="15"/>
  <c r="P66" i="15"/>
  <c r="T25" i="15"/>
  <c r="S25" i="15"/>
  <c r="D87" i="15"/>
  <c r="T27" i="15"/>
  <c r="S27" i="15"/>
  <c r="P30" i="15"/>
  <c r="P49" i="15" s="1"/>
  <c r="T21" i="15"/>
  <c r="S21" i="15"/>
  <c r="X39" i="15"/>
  <c r="W39" i="15"/>
  <c r="T78" i="15"/>
  <c r="S78" i="15"/>
  <c r="T23" i="15"/>
  <c r="S23" i="15"/>
  <c r="AB24" i="15"/>
  <c r="AA24" i="15"/>
  <c r="T48" i="15"/>
  <c r="S48" i="15" s="1"/>
  <c r="X77" i="15"/>
  <c r="W77" i="15"/>
  <c r="X73" i="15"/>
  <c r="W73" i="15"/>
  <c r="X61" i="15"/>
  <c r="W61" i="15"/>
  <c r="O82" i="15"/>
  <c r="X75" i="15"/>
  <c r="W75" i="15"/>
  <c r="T41" i="15"/>
  <c r="S41" i="15" s="1"/>
  <c r="X33" i="15"/>
  <c r="W33" i="15" s="1"/>
  <c r="S81" i="15"/>
  <c r="T81" i="15"/>
  <c r="T72" i="15"/>
  <c r="S72" i="15"/>
  <c r="O30" i="19" l="1"/>
  <c r="Q30" i="19"/>
  <c r="K59" i="20"/>
  <c r="O59" i="20"/>
  <c r="L62" i="20"/>
  <c r="H45" i="28"/>
  <c r="P45" i="28" s="1"/>
  <c r="I45" i="26"/>
  <c r="I45" i="28" s="1"/>
  <c r="Q45" i="28" s="1"/>
  <c r="S66" i="15"/>
  <c r="W34" i="18"/>
  <c r="X34" i="18"/>
  <c r="P49" i="21"/>
  <c r="S49" i="21" s="1"/>
  <c r="AB9" i="20"/>
  <c r="AB11" i="20" s="1"/>
  <c r="X11" i="20"/>
  <c r="H97" i="21"/>
  <c r="H44" i="26"/>
  <c r="G43" i="26"/>
  <c r="H85" i="21"/>
  <c r="E8" i="22" s="1"/>
  <c r="G66" i="21"/>
  <c r="AB27" i="18"/>
  <c r="AA27" i="18"/>
  <c r="T82" i="18"/>
  <c r="K59" i="21"/>
  <c r="L66" i="21"/>
  <c r="O82" i="21"/>
  <c r="X48" i="21"/>
  <c r="W48" i="21"/>
  <c r="S59" i="20"/>
  <c r="X59" i="20"/>
  <c r="W60" i="20"/>
  <c r="P13" i="20"/>
  <c r="O13" i="20"/>
  <c r="L92" i="20"/>
  <c r="W26" i="21"/>
  <c r="X26" i="21"/>
  <c r="L55" i="21"/>
  <c r="O53" i="21"/>
  <c r="K55" i="21"/>
  <c r="AB61" i="21"/>
  <c r="AA61" i="21"/>
  <c r="AB77" i="21"/>
  <c r="AA77" i="21"/>
  <c r="AB34" i="21"/>
  <c r="AA34" i="21"/>
  <c r="X41" i="21"/>
  <c r="AB79" i="21"/>
  <c r="AA79" i="21"/>
  <c r="X70" i="21"/>
  <c r="W70" i="21" s="1"/>
  <c r="P44" i="21"/>
  <c r="S30" i="21"/>
  <c r="W80" i="21"/>
  <c r="X80" i="21"/>
  <c r="AA59" i="21"/>
  <c r="W62" i="21"/>
  <c r="X62" i="21"/>
  <c r="X81" i="21"/>
  <c r="W81" i="21"/>
  <c r="T46" i="21"/>
  <c r="W46" i="21" s="1"/>
  <c r="W41" i="21"/>
  <c r="T45" i="21"/>
  <c r="W45" i="21" s="1"/>
  <c r="AB36" i="21"/>
  <c r="AA36" i="21"/>
  <c r="X28" i="21"/>
  <c r="W28" i="21"/>
  <c r="X60" i="21"/>
  <c r="T66" i="21"/>
  <c r="W24" i="21"/>
  <c r="X24" i="21"/>
  <c r="W76" i="21"/>
  <c r="X76" i="21"/>
  <c r="AB75" i="21"/>
  <c r="AA75" i="21"/>
  <c r="W22" i="21"/>
  <c r="X22" i="21"/>
  <c r="T30" i="21"/>
  <c r="T49" i="21" s="1"/>
  <c r="W49" i="21" s="1"/>
  <c r="AB38" i="21"/>
  <c r="AA38" i="21"/>
  <c r="W72" i="21"/>
  <c r="X72" i="21"/>
  <c r="AB25" i="21"/>
  <c r="AA25" i="21"/>
  <c r="W74" i="21"/>
  <c r="X74" i="21"/>
  <c r="X64" i="21"/>
  <c r="W64" i="21"/>
  <c r="AB71" i="21"/>
  <c r="AA71" i="21"/>
  <c r="W78" i="21"/>
  <c r="X78" i="21"/>
  <c r="AB73" i="21"/>
  <c r="AA73" i="21"/>
  <c r="X69" i="21"/>
  <c r="W69" i="21" s="1"/>
  <c r="T82" i="21"/>
  <c r="S82" i="21" s="1"/>
  <c r="K15" i="20"/>
  <c r="G15" i="20"/>
  <c r="O62" i="20"/>
  <c r="X25" i="20"/>
  <c r="W25" i="20"/>
  <c r="AB23" i="20"/>
  <c r="AA23" i="20"/>
  <c r="AB66" i="20"/>
  <c r="AA66" i="20"/>
  <c r="X67" i="20"/>
  <c r="W67" i="20"/>
  <c r="W37" i="20"/>
  <c r="X37" i="20"/>
  <c r="X73" i="20"/>
  <c r="W73" i="20"/>
  <c r="AB38" i="20"/>
  <c r="AA38" i="20"/>
  <c r="X24" i="20"/>
  <c r="W24" i="20"/>
  <c r="AB70" i="20"/>
  <c r="AA70" i="20"/>
  <c r="D85" i="20"/>
  <c r="T44" i="20"/>
  <c r="W30" i="20"/>
  <c r="W48" i="20"/>
  <c r="X48" i="20"/>
  <c r="S78" i="20"/>
  <c r="AB68" i="20"/>
  <c r="AA68" i="20"/>
  <c r="X77" i="20"/>
  <c r="W77" i="20"/>
  <c r="AB52" i="20"/>
  <c r="AA52" i="20"/>
  <c r="T41" i="20"/>
  <c r="W33" i="20"/>
  <c r="X33" i="20"/>
  <c r="AA34" i="20"/>
  <c r="AB34" i="20"/>
  <c r="AB72" i="20"/>
  <c r="AA72" i="20"/>
  <c r="AB21" i="20"/>
  <c r="AA21" i="20"/>
  <c r="X65" i="20"/>
  <c r="W65" i="20"/>
  <c r="T78" i="20"/>
  <c r="W22" i="20"/>
  <c r="X22" i="20"/>
  <c r="X30" i="20" s="1"/>
  <c r="L53" i="20"/>
  <c r="O44" i="20"/>
  <c r="X71" i="20"/>
  <c r="W71" i="20"/>
  <c r="W39" i="20"/>
  <c r="X39" i="20"/>
  <c r="X75" i="20"/>
  <c r="W75" i="20"/>
  <c r="W59" i="20"/>
  <c r="T62" i="20"/>
  <c r="AB76" i="20"/>
  <c r="AA76" i="20"/>
  <c r="AA35" i="20"/>
  <c r="AB35" i="20"/>
  <c r="X69" i="20"/>
  <c r="W69" i="20"/>
  <c r="H55" i="20"/>
  <c r="K53" i="20"/>
  <c r="H91" i="20"/>
  <c r="H93" i="20" s="1"/>
  <c r="AB74" i="20"/>
  <c r="AA74" i="20"/>
  <c r="AB51" i="20"/>
  <c r="AA51" i="20"/>
  <c r="P45" i="20"/>
  <c r="S45" i="20" s="1"/>
  <c r="P49" i="20"/>
  <c r="S49" i="20" s="1"/>
  <c r="P50" i="20"/>
  <c r="S50" i="20" s="1"/>
  <c r="P47" i="20"/>
  <c r="S47" i="20" s="1"/>
  <c r="P46" i="20"/>
  <c r="S46" i="20" s="1"/>
  <c r="S41" i="20"/>
  <c r="S44" i="20"/>
  <c r="AA37" i="19"/>
  <c r="AB37" i="19"/>
  <c r="W39" i="19"/>
  <c r="X39" i="19"/>
  <c r="T46" i="19"/>
  <c r="W46" i="19" s="1"/>
  <c r="T45" i="19"/>
  <c r="W45" i="19" s="1"/>
  <c r="W41" i="19"/>
  <c r="X59" i="19"/>
  <c r="T66" i="19"/>
  <c r="W66" i="19" s="1"/>
  <c r="W59" i="19"/>
  <c r="W78" i="19"/>
  <c r="X78" i="19"/>
  <c r="AB25" i="19"/>
  <c r="AA25" i="19"/>
  <c r="AB73" i="19"/>
  <c r="AA73" i="19"/>
  <c r="W60" i="19"/>
  <c r="X60" i="19"/>
  <c r="AB28" i="19"/>
  <c r="AA28" i="19"/>
  <c r="H55" i="19"/>
  <c r="G55" i="19" s="1"/>
  <c r="H95" i="19"/>
  <c r="P50" i="19"/>
  <c r="P47" i="19"/>
  <c r="P45" i="19"/>
  <c r="S45" i="19" s="1"/>
  <c r="P49" i="19"/>
  <c r="S46" i="19"/>
  <c r="S41" i="19"/>
  <c r="L53" i="19"/>
  <c r="K53" i="19" s="1"/>
  <c r="T30" i="19"/>
  <c r="T47" i="19" s="1"/>
  <c r="X21" i="19"/>
  <c r="W21" i="19" s="1"/>
  <c r="X65" i="19"/>
  <c r="W65" i="19"/>
  <c r="AB75" i="19"/>
  <c r="AA75" i="19"/>
  <c r="AB96" i="19"/>
  <c r="W72" i="19"/>
  <c r="X72" i="19"/>
  <c r="X70" i="19"/>
  <c r="W70" i="19" s="1"/>
  <c r="W74" i="19"/>
  <c r="X74" i="19"/>
  <c r="AA35" i="19"/>
  <c r="AB35" i="19"/>
  <c r="X62" i="19"/>
  <c r="W62" i="19"/>
  <c r="AB27" i="19"/>
  <c r="AA27" i="19"/>
  <c r="D89" i="19"/>
  <c r="P44" i="19"/>
  <c r="O44" i="19" s="1"/>
  <c r="AB79" i="19"/>
  <c r="AA79" i="19"/>
  <c r="AB77" i="19"/>
  <c r="AA77" i="19"/>
  <c r="AA63" i="19"/>
  <c r="AB63" i="19"/>
  <c r="X61" i="19"/>
  <c r="W61" i="19"/>
  <c r="X69" i="19"/>
  <c r="W69" i="19" s="1"/>
  <c r="T82" i="19"/>
  <c r="S82" i="19" s="1"/>
  <c r="AB26" i="19"/>
  <c r="AA26" i="19"/>
  <c r="W80" i="19"/>
  <c r="X80" i="19"/>
  <c r="X81" i="19"/>
  <c r="W81" i="19"/>
  <c r="AB71" i="19"/>
  <c r="AA71" i="19" s="1"/>
  <c r="W76" i="19"/>
  <c r="X76" i="19"/>
  <c r="AA38" i="19"/>
  <c r="AB38" i="19"/>
  <c r="X64" i="19"/>
  <c r="W64" i="19"/>
  <c r="X36" i="19"/>
  <c r="X41" i="19" s="1"/>
  <c r="W36" i="19"/>
  <c r="W48" i="18"/>
  <c r="X48" i="18"/>
  <c r="H55" i="18"/>
  <c r="K53" i="18"/>
  <c r="H95" i="18"/>
  <c r="AB52" i="18"/>
  <c r="AA52" i="18"/>
  <c r="AA61" i="18"/>
  <c r="AB61" i="18"/>
  <c r="P49" i="18"/>
  <c r="S49" i="18" s="1"/>
  <c r="AB22" i="18"/>
  <c r="AA22" i="18"/>
  <c r="T49" i="18"/>
  <c r="W49" i="18" s="1"/>
  <c r="T50" i="18"/>
  <c r="W50" i="18" s="1"/>
  <c r="T47" i="18"/>
  <c r="W47" i="18" s="1"/>
  <c r="W41" i="18"/>
  <c r="T46" i="18"/>
  <c r="W46" i="18" s="1"/>
  <c r="T45" i="18"/>
  <c r="W45" i="18" s="1"/>
  <c r="AB81" i="18"/>
  <c r="AA81" i="18"/>
  <c r="X64" i="18"/>
  <c r="W64" i="18"/>
  <c r="X71" i="18"/>
  <c r="W71" i="18"/>
  <c r="AB80" i="18"/>
  <c r="AA80" i="18"/>
  <c r="AB74" i="18"/>
  <c r="AA74" i="18"/>
  <c r="AA28" i="18"/>
  <c r="AB28" i="18"/>
  <c r="AB76" i="18"/>
  <c r="AA76" i="18"/>
  <c r="X75" i="18"/>
  <c r="W75" i="18"/>
  <c r="L55" i="18"/>
  <c r="O53" i="18"/>
  <c r="X24" i="18"/>
  <c r="W24" i="18"/>
  <c r="AA59" i="18"/>
  <c r="AB59" i="18"/>
  <c r="X73" i="18"/>
  <c r="W73" i="18"/>
  <c r="X62" i="18"/>
  <c r="W62" i="18"/>
  <c r="X77" i="18"/>
  <c r="W77" i="18"/>
  <c r="AA33" i="18"/>
  <c r="AB33" i="18"/>
  <c r="AB72" i="18"/>
  <c r="AA72" i="18"/>
  <c r="AB26" i="18"/>
  <c r="AA26" i="18"/>
  <c r="AB78" i="18"/>
  <c r="AA78" i="18"/>
  <c r="T66" i="18"/>
  <c r="W66" i="18" s="1"/>
  <c r="W82" i="18"/>
  <c r="P44" i="18"/>
  <c r="S30" i="18"/>
  <c r="AB70" i="18"/>
  <c r="AA70" i="18"/>
  <c r="X79" i="18"/>
  <c r="W79" i="18"/>
  <c r="X37" i="18"/>
  <c r="X41" i="18" s="1"/>
  <c r="W37" i="18"/>
  <c r="D89" i="18"/>
  <c r="AB51" i="18"/>
  <c r="AA51" i="18"/>
  <c r="AA39" i="18"/>
  <c r="AB39" i="18"/>
  <c r="T44" i="18"/>
  <c r="W30" i="18"/>
  <c r="P44" i="17"/>
  <c r="S44" i="17" s="1"/>
  <c r="S30" i="17"/>
  <c r="X27" i="17"/>
  <c r="W27" i="17"/>
  <c r="T30" i="17"/>
  <c r="T66" i="17"/>
  <c r="W66" i="17" s="1"/>
  <c r="X59" i="17"/>
  <c r="W59" i="17"/>
  <c r="D89" i="17"/>
  <c r="AB38" i="17"/>
  <c r="AA38" i="17"/>
  <c r="X81" i="17"/>
  <c r="W81" i="17"/>
  <c r="AB36" i="17"/>
  <c r="AA36" i="17"/>
  <c r="P45" i="17"/>
  <c r="P49" i="17"/>
  <c r="S49" i="17" s="1"/>
  <c r="P46" i="17"/>
  <c r="S46" i="17" s="1"/>
  <c r="S41" i="17"/>
  <c r="P50" i="17"/>
  <c r="S50" i="17" s="1"/>
  <c r="P47" i="17"/>
  <c r="S47" i="17" s="1"/>
  <c r="AB61" i="17"/>
  <c r="AA61" i="17"/>
  <c r="W72" i="17"/>
  <c r="X72" i="17"/>
  <c r="X69" i="17"/>
  <c r="W69" i="17"/>
  <c r="T82" i="17"/>
  <c r="AA63" i="17"/>
  <c r="AB63" i="17"/>
  <c r="W80" i="17"/>
  <c r="X80" i="17"/>
  <c r="W76" i="17"/>
  <c r="X76" i="17"/>
  <c r="W78" i="17"/>
  <c r="X78" i="17"/>
  <c r="AB75" i="17"/>
  <c r="AA75" i="17"/>
  <c r="H55" i="17"/>
  <c r="K53" i="17"/>
  <c r="H95" i="17"/>
  <c r="X64" i="17"/>
  <c r="W64" i="17"/>
  <c r="X48" i="17"/>
  <c r="W48" i="17"/>
  <c r="W34" i="17"/>
  <c r="X34" i="17"/>
  <c r="AB73" i="17"/>
  <c r="AA73" i="17"/>
  <c r="T41" i="17"/>
  <c r="X33" i="17"/>
  <c r="W33" i="17"/>
  <c r="AB35" i="17"/>
  <c r="AA35" i="17"/>
  <c r="AB79" i="17"/>
  <c r="AA79" i="17"/>
  <c r="W70" i="17"/>
  <c r="X70" i="17"/>
  <c r="W74" i="17"/>
  <c r="X74" i="17"/>
  <c r="L53" i="17"/>
  <c r="AB39" i="17"/>
  <c r="AA39" i="17"/>
  <c r="AB71" i="17"/>
  <c r="AA71" i="17"/>
  <c r="W62" i="17"/>
  <c r="X62" i="17"/>
  <c r="AB37" i="17"/>
  <c r="AA37" i="17"/>
  <c r="S82" i="17"/>
  <c r="AB77" i="17"/>
  <c r="AA77" i="17"/>
  <c r="O13" i="15"/>
  <c r="L15" i="15"/>
  <c r="O11" i="15"/>
  <c r="AA38" i="15"/>
  <c r="AB38" i="15"/>
  <c r="AB34" i="15"/>
  <c r="AA34" i="15"/>
  <c r="O49" i="15"/>
  <c r="O45" i="15"/>
  <c r="K49" i="15"/>
  <c r="O46" i="15"/>
  <c r="K50" i="15"/>
  <c r="P50" i="15"/>
  <c r="O50" i="15" s="1"/>
  <c r="W78" i="15"/>
  <c r="X78" i="15"/>
  <c r="W25" i="15"/>
  <c r="X25" i="15"/>
  <c r="W76" i="15"/>
  <c r="X76" i="15"/>
  <c r="X81" i="15"/>
  <c r="W81" i="15"/>
  <c r="AB79" i="15"/>
  <c r="AA79" i="15"/>
  <c r="S82" i="15"/>
  <c r="W72" i="15"/>
  <c r="X72" i="15"/>
  <c r="AB73" i="15"/>
  <c r="AA73" i="15"/>
  <c r="X48" i="15"/>
  <c r="W48" i="15" s="1"/>
  <c r="W23" i="15"/>
  <c r="X23" i="15"/>
  <c r="AB39" i="15"/>
  <c r="AA39" i="15"/>
  <c r="AB37" i="15"/>
  <c r="AA37" i="15"/>
  <c r="X69" i="15"/>
  <c r="W69" i="15"/>
  <c r="T82" i="15"/>
  <c r="W62" i="15"/>
  <c r="X62" i="15"/>
  <c r="AB75" i="15"/>
  <c r="AA75" i="15"/>
  <c r="X27" i="15"/>
  <c r="W27" i="15"/>
  <c r="W70" i="15"/>
  <c r="X70" i="15"/>
  <c r="X64" i="15"/>
  <c r="W64" i="15"/>
  <c r="P47" i="15"/>
  <c r="O47" i="15" s="1"/>
  <c r="AB71" i="15"/>
  <c r="AA71" i="15"/>
  <c r="L53" i="15"/>
  <c r="K53" i="15" s="1"/>
  <c r="O44" i="15"/>
  <c r="AB61" i="15"/>
  <c r="AA61" i="15"/>
  <c r="T30" i="15"/>
  <c r="T49" i="15" s="1"/>
  <c r="W21" i="15"/>
  <c r="X21" i="15"/>
  <c r="W74" i="15"/>
  <c r="X74" i="15"/>
  <c r="AA63" i="15"/>
  <c r="AB63" i="15"/>
  <c r="X41" i="15"/>
  <c r="W41" i="15" s="1"/>
  <c r="AB33" i="15"/>
  <c r="AA33" i="15" s="1"/>
  <c r="T45" i="15"/>
  <c r="T46" i="15"/>
  <c r="S30" i="15"/>
  <c r="W80" i="15"/>
  <c r="X80" i="15"/>
  <c r="AB77" i="15"/>
  <c r="AA77" i="15"/>
  <c r="D89" i="15"/>
  <c r="H55" i="15"/>
  <c r="G55" i="15" s="1"/>
  <c r="H95" i="15"/>
  <c r="W60" i="15"/>
  <c r="X60" i="15"/>
  <c r="T66" i="15"/>
  <c r="W66" i="15" s="1"/>
  <c r="AB35" i="15"/>
  <c r="AA35" i="15"/>
  <c r="H43" i="27" l="1"/>
  <c r="K62" i="20"/>
  <c r="T50" i="15"/>
  <c r="I44" i="26"/>
  <c r="E35" i="22"/>
  <c r="E36" i="22" s="1"/>
  <c r="E9" i="22"/>
  <c r="AB34" i="18"/>
  <c r="AA34" i="18"/>
  <c r="AA9" i="20"/>
  <c r="AA11" i="20"/>
  <c r="W11" i="20"/>
  <c r="X82" i="18"/>
  <c r="AA82" i="18" s="1"/>
  <c r="H43" i="26"/>
  <c r="G43" i="28"/>
  <c r="O43" i="28" s="1"/>
  <c r="G49" i="26"/>
  <c r="K66" i="21"/>
  <c r="L95" i="21"/>
  <c r="AB48" i="21"/>
  <c r="AA48" i="21"/>
  <c r="S59" i="21"/>
  <c r="P66" i="21"/>
  <c r="I43" i="26" s="1"/>
  <c r="O59" i="21"/>
  <c r="AA60" i="20"/>
  <c r="P15" i="20"/>
  <c r="S13" i="20"/>
  <c r="P92" i="20"/>
  <c r="T13" i="20"/>
  <c r="AA64" i="21"/>
  <c r="AB64" i="21"/>
  <c r="AA60" i="21"/>
  <c r="AB60" i="21"/>
  <c r="X66" i="21"/>
  <c r="W66" i="21" s="1"/>
  <c r="AB72" i="21"/>
  <c r="AA72" i="21"/>
  <c r="W60" i="21"/>
  <c r="W30" i="21"/>
  <c r="T44" i="21"/>
  <c r="AA22" i="21"/>
  <c r="AB22" i="21"/>
  <c r="X30" i="21"/>
  <c r="AB76" i="21"/>
  <c r="AA76" i="21"/>
  <c r="AA28" i="21"/>
  <c r="AB28" i="21"/>
  <c r="T50" i="21"/>
  <c r="W50" i="21" s="1"/>
  <c r="AB81" i="21"/>
  <c r="AA81" i="21"/>
  <c r="AB80" i="21"/>
  <c r="AA80" i="21"/>
  <c r="AB70" i="21"/>
  <c r="AA70" i="21" s="1"/>
  <c r="X45" i="21"/>
  <c r="AA45" i="21" s="1"/>
  <c r="X49" i="21"/>
  <c r="AA49" i="21" s="1"/>
  <c r="X46" i="21"/>
  <c r="AA46" i="21" s="1"/>
  <c r="X50" i="21"/>
  <c r="AA50" i="21" s="1"/>
  <c r="X47" i="21"/>
  <c r="AA47" i="21" s="1"/>
  <c r="AA41" i="21"/>
  <c r="O55" i="21"/>
  <c r="AB78" i="21"/>
  <c r="AA78" i="21"/>
  <c r="AA62" i="21"/>
  <c r="AB62" i="21"/>
  <c r="AA26" i="21"/>
  <c r="AB26" i="21"/>
  <c r="X82" i="21"/>
  <c r="W82" i="21" s="1"/>
  <c r="AB69" i="21"/>
  <c r="AA69" i="21" s="1"/>
  <c r="AB74" i="21"/>
  <c r="AA74" i="21"/>
  <c r="AA24" i="21"/>
  <c r="AB24" i="21"/>
  <c r="AB41" i="21"/>
  <c r="T47" i="21"/>
  <c r="W47" i="21" s="1"/>
  <c r="P53" i="21"/>
  <c r="S44" i="21"/>
  <c r="H98" i="21"/>
  <c r="H87" i="21"/>
  <c r="G85" i="21"/>
  <c r="S62" i="20"/>
  <c r="AB25" i="20"/>
  <c r="AA25" i="20"/>
  <c r="P53" i="20"/>
  <c r="P55" i="20" s="1"/>
  <c r="AB69" i="20"/>
  <c r="AA69" i="20"/>
  <c r="AA22" i="20"/>
  <c r="AB22" i="20"/>
  <c r="X78" i="20"/>
  <c r="AB65" i="20"/>
  <c r="AA65" i="20"/>
  <c r="X41" i="20"/>
  <c r="AB33" i="20"/>
  <c r="AA33" i="20"/>
  <c r="AB48" i="20"/>
  <c r="AA48" i="20"/>
  <c r="AA37" i="20"/>
  <c r="AB37" i="20"/>
  <c r="AB75" i="20"/>
  <c r="AA75" i="20"/>
  <c r="AB71" i="20"/>
  <c r="AA71" i="20"/>
  <c r="AA30" i="20"/>
  <c r="H7" i="20"/>
  <c r="AA24" i="20"/>
  <c r="AB24" i="20"/>
  <c r="AB67" i="20"/>
  <c r="AA67" i="20"/>
  <c r="K55" i="20"/>
  <c r="H81" i="20"/>
  <c r="G81" i="20" s="1"/>
  <c r="AA39" i="20"/>
  <c r="AB39" i="20"/>
  <c r="W78" i="20"/>
  <c r="T50" i="20"/>
  <c r="W50" i="20" s="1"/>
  <c r="T47" i="20"/>
  <c r="W47" i="20" s="1"/>
  <c r="W41" i="20"/>
  <c r="T49" i="20"/>
  <c r="W49" i="20" s="1"/>
  <c r="T46" i="20"/>
  <c r="W46" i="20" s="1"/>
  <c r="T45" i="20"/>
  <c r="W45" i="20" s="1"/>
  <c r="AB77" i="20"/>
  <c r="AA77" i="20"/>
  <c r="X62" i="20"/>
  <c r="AB59" i="20"/>
  <c r="AA59" i="20" s="1"/>
  <c r="L55" i="20"/>
  <c r="O53" i="20"/>
  <c r="L91" i="20"/>
  <c r="L93" i="20" s="1"/>
  <c r="AB30" i="20"/>
  <c r="P91" i="20"/>
  <c r="W44" i="20"/>
  <c r="AB73" i="20"/>
  <c r="AA73" i="20"/>
  <c r="AA39" i="19"/>
  <c r="AB39" i="19"/>
  <c r="S30" i="19"/>
  <c r="O49" i="19"/>
  <c r="S47" i="19"/>
  <c r="O47" i="19"/>
  <c r="T50" i="19"/>
  <c r="S50" i="19" s="1"/>
  <c r="O50" i="19"/>
  <c r="AA64" i="19"/>
  <c r="AB64" i="19"/>
  <c r="P53" i="19"/>
  <c r="O53" i="19" s="1"/>
  <c r="X45" i="19"/>
  <c r="AA45" i="19" s="1"/>
  <c r="X46" i="19"/>
  <c r="AA46" i="19" s="1"/>
  <c r="AA41" i="19"/>
  <c r="AB80" i="19"/>
  <c r="AA80" i="19"/>
  <c r="AA36" i="19"/>
  <c r="AB36" i="19"/>
  <c r="AB76" i="19"/>
  <c r="AA76" i="19"/>
  <c r="X82" i="19"/>
  <c r="W82" i="19" s="1"/>
  <c r="AB69" i="19"/>
  <c r="AA69" i="19" s="1"/>
  <c r="H7" i="19"/>
  <c r="H13" i="19" s="1"/>
  <c r="AA62" i="19"/>
  <c r="AB62" i="19"/>
  <c r="AB74" i="19"/>
  <c r="AA74" i="19"/>
  <c r="AB72" i="19"/>
  <c r="AA72" i="19"/>
  <c r="X30" i="19"/>
  <c r="X50" i="19" s="1"/>
  <c r="AB21" i="19"/>
  <c r="AB30" i="19" s="1"/>
  <c r="L55" i="19"/>
  <c r="K55" i="19" s="1"/>
  <c r="L95" i="19"/>
  <c r="L97" i="19" s="1"/>
  <c r="AA60" i="19"/>
  <c r="AB60" i="19"/>
  <c r="AB81" i="19"/>
  <c r="AA81" i="19"/>
  <c r="AA61" i="19"/>
  <c r="AB61" i="19"/>
  <c r="AB41" i="19"/>
  <c r="AB70" i="19"/>
  <c r="AA70" i="19" s="1"/>
  <c r="T44" i="19"/>
  <c r="S44" i="19" s="1"/>
  <c r="AB78" i="19"/>
  <c r="AA78" i="19"/>
  <c r="X66" i="19"/>
  <c r="AA66" i="19" s="1"/>
  <c r="AB59" i="19"/>
  <c r="AA59" i="19"/>
  <c r="AB65" i="19"/>
  <c r="AA65" i="19"/>
  <c r="T49" i="19"/>
  <c r="S49" i="19" s="1"/>
  <c r="K55" i="18"/>
  <c r="AB62" i="18"/>
  <c r="AA62" i="18"/>
  <c r="AB24" i="18"/>
  <c r="AB30" i="18" s="1"/>
  <c r="AA24" i="18"/>
  <c r="X30" i="18"/>
  <c r="X50" i="18" s="1"/>
  <c r="AA50" i="18" s="1"/>
  <c r="X66" i="18"/>
  <c r="AA66" i="18" s="1"/>
  <c r="AB64" i="18"/>
  <c r="AA64" i="18"/>
  <c r="H7" i="18"/>
  <c r="AB79" i="18"/>
  <c r="AA79" i="18"/>
  <c r="AB77" i="18"/>
  <c r="AA77" i="18"/>
  <c r="O55" i="18"/>
  <c r="L85" i="18"/>
  <c r="P53" i="18"/>
  <c r="S44" i="18"/>
  <c r="X49" i="18"/>
  <c r="AA49" i="18" s="1"/>
  <c r="X46" i="18"/>
  <c r="AA46" i="18" s="1"/>
  <c r="X45" i="18"/>
  <c r="AA45" i="18" s="1"/>
  <c r="AA41" i="18"/>
  <c r="AB73" i="18"/>
  <c r="AA73" i="18"/>
  <c r="AB71" i="18"/>
  <c r="AA71" i="18"/>
  <c r="AA37" i="18"/>
  <c r="AB37" i="18"/>
  <c r="AB41" i="18" s="1"/>
  <c r="AB75" i="18"/>
  <c r="AA75" i="18"/>
  <c r="AA48" i="18"/>
  <c r="AB48" i="18"/>
  <c r="T53" i="18"/>
  <c r="W44" i="18"/>
  <c r="T44" i="17"/>
  <c r="W44" i="17" s="1"/>
  <c r="W30" i="17"/>
  <c r="AB27" i="17"/>
  <c r="AB30" i="17" s="1"/>
  <c r="X30" i="17"/>
  <c r="AA27" i="17"/>
  <c r="T45" i="17"/>
  <c r="T49" i="17"/>
  <c r="W49" i="17" s="1"/>
  <c r="T46" i="17"/>
  <c r="W46" i="17" s="1"/>
  <c r="T50" i="17"/>
  <c r="W50" i="17" s="1"/>
  <c r="T47" i="17"/>
  <c r="W47" i="17" s="1"/>
  <c r="W41" i="17"/>
  <c r="AA48" i="17"/>
  <c r="AB48" i="17"/>
  <c r="AB78" i="17"/>
  <c r="AA78" i="17"/>
  <c r="AB80" i="17"/>
  <c r="AA80" i="17"/>
  <c r="AB72" i="17"/>
  <c r="AA72" i="17"/>
  <c r="O53" i="17"/>
  <c r="L55" i="17"/>
  <c r="L95" i="17"/>
  <c r="L97" i="17" s="1"/>
  <c r="AB34" i="17"/>
  <c r="AA34" i="17"/>
  <c r="K55" i="17"/>
  <c r="W82" i="17"/>
  <c r="S45" i="17"/>
  <c r="P53" i="17"/>
  <c r="AB81" i="17"/>
  <c r="AA81" i="17"/>
  <c r="H7" i="17"/>
  <c r="X41" i="17"/>
  <c r="AB33" i="17"/>
  <c r="AB41" i="17" s="1"/>
  <c r="AA33" i="17"/>
  <c r="AB70" i="17"/>
  <c r="AA70" i="17"/>
  <c r="AB74" i="17"/>
  <c r="AA74" i="17"/>
  <c r="AA64" i="17"/>
  <c r="AB64" i="17"/>
  <c r="AB76" i="17"/>
  <c r="AA76" i="17"/>
  <c r="AA62" i="17"/>
  <c r="AB62" i="17"/>
  <c r="X82" i="17"/>
  <c r="AB69" i="17"/>
  <c r="AA69" i="17" s="1"/>
  <c r="X66" i="17"/>
  <c r="AA66" i="17" s="1"/>
  <c r="AB59" i="17"/>
  <c r="AB66" i="17" s="1"/>
  <c r="AA59" i="17"/>
  <c r="P15" i="15"/>
  <c r="O15" i="15" s="1"/>
  <c r="P96" i="15"/>
  <c r="S50" i="15"/>
  <c r="S46" i="15"/>
  <c r="S49" i="15"/>
  <c r="S45" i="15"/>
  <c r="T47" i="15"/>
  <c r="S47" i="15" s="1"/>
  <c r="H7" i="15"/>
  <c r="P53" i="15"/>
  <c r="O53" i="15" s="1"/>
  <c r="L55" i="15"/>
  <c r="K55" i="15" s="1"/>
  <c r="L95" i="15"/>
  <c r="L97" i="15" s="1"/>
  <c r="X82" i="15"/>
  <c r="AB69" i="15"/>
  <c r="AA69" i="15"/>
  <c r="AB48" i="15"/>
  <c r="AA48" i="15" s="1"/>
  <c r="AB41" i="15"/>
  <c r="AA41" i="15" s="1"/>
  <c r="AA23" i="15"/>
  <c r="AB23" i="15"/>
  <c r="AB80" i="15"/>
  <c r="AA80" i="15"/>
  <c r="X45" i="15"/>
  <c r="X46" i="15"/>
  <c r="AB21" i="15"/>
  <c r="AA21" i="15"/>
  <c r="X30" i="15"/>
  <c r="X47" i="15" s="1"/>
  <c r="AA62" i="15"/>
  <c r="AB62" i="15"/>
  <c r="W82" i="15"/>
  <c r="AB25" i="15"/>
  <c r="AA25" i="15"/>
  <c r="AA27" i="15"/>
  <c r="AB27" i="15"/>
  <c r="AB72" i="15"/>
  <c r="AA72" i="15"/>
  <c r="AB81" i="15"/>
  <c r="AA81" i="15"/>
  <c r="AA64" i="15"/>
  <c r="AB64" i="15"/>
  <c r="T44" i="15"/>
  <c r="S44" i="15" s="1"/>
  <c r="W30" i="15"/>
  <c r="AB76" i="15"/>
  <c r="AA76" i="15"/>
  <c r="AB78" i="15"/>
  <c r="AA78" i="15"/>
  <c r="AB74" i="15"/>
  <c r="AA74" i="15"/>
  <c r="AB70" i="15"/>
  <c r="AA70" i="15"/>
  <c r="AB60" i="15"/>
  <c r="AA60" i="15"/>
  <c r="X66" i="15"/>
  <c r="AA66" i="15" s="1"/>
  <c r="G56" i="26" l="1"/>
  <c r="J44" i="26"/>
  <c r="K44" i="26" s="1"/>
  <c r="L44" i="26" s="1"/>
  <c r="F5" i="22"/>
  <c r="E17" i="22"/>
  <c r="AA21" i="19"/>
  <c r="O66" i="21"/>
  <c r="I43" i="28"/>
  <c r="Q43" i="28" s="1"/>
  <c r="H49" i="26"/>
  <c r="H43" i="28"/>
  <c r="P43" i="28" s="1"/>
  <c r="H9" i="17"/>
  <c r="X47" i="18"/>
  <c r="AA47" i="18" s="1"/>
  <c r="S53" i="20"/>
  <c r="AB82" i="18"/>
  <c r="AB66" i="18"/>
  <c r="S66" i="21"/>
  <c r="O15" i="20"/>
  <c r="P93" i="20"/>
  <c r="T92" i="20"/>
  <c r="W13" i="20"/>
  <c r="X13" i="20"/>
  <c r="T15" i="20"/>
  <c r="AB13" i="20"/>
  <c r="AB92" i="20" s="1"/>
  <c r="H89" i="21"/>
  <c r="G89" i="21" s="1"/>
  <c r="AB45" i="21"/>
  <c r="AB46" i="21"/>
  <c r="AA30" i="21"/>
  <c r="AB66" i="21"/>
  <c r="AA66" i="21" s="1"/>
  <c r="AB30" i="21"/>
  <c r="AB49" i="21" s="1"/>
  <c r="G87" i="21"/>
  <c r="P55" i="21"/>
  <c r="P85" i="21" s="1"/>
  <c r="S53" i="21"/>
  <c r="P95" i="21"/>
  <c r="P97" i="21" s="1"/>
  <c r="AB82" i="21"/>
  <c r="AA82" i="21" s="1"/>
  <c r="T53" i="21"/>
  <c r="W44" i="21"/>
  <c r="W62" i="20"/>
  <c r="O55" i="20"/>
  <c r="L81" i="20"/>
  <c r="K81" i="20" s="1"/>
  <c r="T53" i="20"/>
  <c r="X49" i="20"/>
  <c r="AA49" i="20" s="1"/>
  <c r="X46" i="20"/>
  <c r="AA46" i="20" s="1"/>
  <c r="X50" i="20"/>
  <c r="AA50" i="20" s="1"/>
  <c r="X47" i="20"/>
  <c r="AA47" i="20" s="1"/>
  <c r="X45" i="20"/>
  <c r="AA45" i="20" s="1"/>
  <c r="AA41" i="20"/>
  <c r="S55" i="20"/>
  <c r="P81" i="20"/>
  <c r="H94" i="20"/>
  <c r="H83" i="20"/>
  <c r="AB78" i="20"/>
  <c r="AB62" i="20"/>
  <c r="AA62" i="20" s="1"/>
  <c r="AB41" i="20"/>
  <c r="AA78" i="20"/>
  <c r="H15" i="19"/>
  <c r="H85" i="19"/>
  <c r="W30" i="19"/>
  <c r="W50" i="19"/>
  <c r="AB66" i="19"/>
  <c r="L85" i="19"/>
  <c r="L87" i="19" s="1"/>
  <c r="X47" i="19"/>
  <c r="T53" i="19"/>
  <c r="S53" i="19" s="1"/>
  <c r="AB82" i="19"/>
  <c r="AA82" i="19" s="1"/>
  <c r="AA30" i="19"/>
  <c r="P55" i="19"/>
  <c r="O55" i="19" s="1"/>
  <c r="P95" i="19"/>
  <c r="P97" i="19" s="1"/>
  <c r="X49" i="19"/>
  <c r="AB45" i="19"/>
  <c r="AB49" i="19"/>
  <c r="AB46" i="19"/>
  <c r="AB50" i="19"/>
  <c r="AA50" i="19" s="1"/>
  <c r="AB47" i="19"/>
  <c r="S53" i="18"/>
  <c r="P55" i="18"/>
  <c r="P95" i="18"/>
  <c r="P97" i="18" s="1"/>
  <c r="T55" i="18"/>
  <c r="W53" i="18"/>
  <c r="T95" i="18"/>
  <c r="T97" i="18" s="1"/>
  <c r="L98" i="18"/>
  <c r="O85" i="18"/>
  <c r="L87" i="18"/>
  <c r="O87" i="18" s="1"/>
  <c r="AB49" i="18"/>
  <c r="AB46" i="18"/>
  <c r="AB50" i="18"/>
  <c r="AB47" i="18"/>
  <c r="AB45" i="18"/>
  <c r="H9" i="18"/>
  <c r="AA30" i="18"/>
  <c r="AA30" i="17"/>
  <c r="X50" i="17"/>
  <c r="AA50" i="17" s="1"/>
  <c r="X47" i="17"/>
  <c r="AA47" i="17" s="1"/>
  <c r="AA41" i="17"/>
  <c r="X45" i="17"/>
  <c r="X49" i="17"/>
  <c r="AA49" i="17" s="1"/>
  <c r="X46" i="17"/>
  <c r="AA46" i="17" s="1"/>
  <c r="P55" i="17"/>
  <c r="S53" i="17"/>
  <c r="P95" i="17"/>
  <c r="P97" i="17" s="1"/>
  <c r="AB82" i="17"/>
  <c r="AA82" i="17" s="1"/>
  <c r="W45" i="17"/>
  <c r="T53" i="17"/>
  <c r="AB49" i="17"/>
  <c r="AB46" i="17"/>
  <c r="AB50" i="17"/>
  <c r="AB47" i="17"/>
  <c r="AB45" i="17"/>
  <c r="O55" i="17"/>
  <c r="L85" i="17"/>
  <c r="W45" i="15"/>
  <c r="W47" i="15"/>
  <c r="W46" i="15"/>
  <c r="T53" i="15"/>
  <c r="S53" i="15" s="1"/>
  <c r="W44" i="15"/>
  <c r="AA30" i="15"/>
  <c r="X49" i="15"/>
  <c r="X50" i="15"/>
  <c r="AA82" i="15"/>
  <c r="P55" i="15"/>
  <c r="O55" i="15" s="1"/>
  <c r="P95" i="15"/>
  <c r="P97" i="15" s="1"/>
  <c r="AB46" i="15"/>
  <c r="AA46" i="15" s="1"/>
  <c r="AB45" i="15"/>
  <c r="AA45" i="15" s="1"/>
  <c r="AB66" i="15"/>
  <c r="L85" i="15"/>
  <c r="AB30" i="15"/>
  <c r="AB82" i="15"/>
  <c r="H56" i="26" l="1"/>
  <c r="AA49" i="19"/>
  <c r="E35" i="2"/>
  <c r="H11" i="17"/>
  <c r="G9" i="17"/>
  <c r="K9" i="17"/>
  <c r="S15" i="20"/>
  <c r="AB15" i="20"/>
  <c r="X92" i="20"/>
  <c r="AA13" i="20"/>
  <c r="X15" i="20"/>
  <c r="W15" i="20" s="1"/>
  <c r="L7" i="21"/>
  <c r="T55" i="21"/>
  <c r="W53" i="21"/>
  <c r="T95" i="21"/>
  <c r="T97" i="21" s="1"/>
  <c r="AB47" i="21"/>
  <c r="S55" i="21"/>
  <c r="AB50" i="21"/>
  <c r="G83" i="20"/>
  <c r="P94" i="20"/>
  <c r="P83" i="20"/>
  <c r="H85" i="20"/>
  <c r="W53" i="20"/>
  <c r="T55" i="20"/>
  <c r="T91" i="20"/>
  <c r="T93" i="20" s="1"/>
  <c r="L94" i="20"/>
  <c r="O81" i="20"/>
  <c r="L83" i="20"/>
  <c r="K83" i="20" s="1"/>
  <c r="AB45" i="20"/>
  <c r="AB49" i="20"/>
  <c r="AB46" i="20"/>
  <c r="AB50" i="20"/>
  <c r="AB47" i="20"/>
  <c r="AA47" i="19"/>
  <c r="W47" i="19"/>
  <c r="W49" i="19"/>
  <c r="T55" i="19"/>
  <c r="S55" i="19" s="1"/>
  <c r="T95" i="19"/>
  <c r="T97" i="19" s="1"/>
  <c r="L98" i="19"/>
  <c r="P85" i="19"/>
  <c r="O85" i="19" s="1"/>
  <c r="W55" i="18"/>
  <c r="T85" i="18"/>
  <c r="K9" i="18"/>
  <c r="H11" i="18"/>
  <c r="G9" i="18"/>
  <c r="S55" i="18"/>
  <c r="P85" i="18"/>
  <c r="L98" i="17"/>
  <c r="L87" i="17"/>
  <c r="T55" i="17"/>
  <c r="W53" i="17"/>
  <c r="T95" i="17"/>
  <c r="T97" i="17" s="1"/>
  <c r="S55" i="17"/>
  <c r="P85" i="17"/>
  <c r="O85" i="17" s="1"/>
  <c r="AA45" i="17"/>
  <c r="W50" i="15"/>
  <c r="W49" i="15"/>
  <c r="G87" i="15"/>
  <c r="AB50" i="15"/>
  <c r="AA50" i="15" s="1"/>
  <c r="P85" i="15"/>
  <c r="O85" i="15" s="1"/>
  <c r="AB49" i="15"/>
  <c r="AA49" i="15" s="1"/>
  <c r="T55" i="15"/>
  <c r="S55" i="15" s="1"/>
  <c r="T95" i="15"/>
  <c r="AB47" i="15"/>
  <c r="L98" i="15"/>
  <c r="L87" i="15"/>
  <c r="G85" i="20" l="1"/>
  <c r="G9" i="27"/>
  <c r="G9" i="28" s="1"/>
  <c r="O9" i="28" s="1"/>
  <c r="G11" i="17"/>
  <c r="H13" i="17"/>
  <c r="K11" i="17"/>
  <c r="AA15" i="20"/>
  <c r="K89" i="21"/>
  <c r="W55" i="21"/>
  <c r="T85" i="21"/>
  <c r="S85" i="21" s="1"/>
  <c r="P98" i="21"/>
  <c r="P87" i="21"/>
  <c r="O83" i="20"/>
  <c r="W55" i="20"/>
  <c r="T81" i="20"/>
  <c r="S81" i="20" s="1"/>
  <c r="L7" i="20"/>
  <c r="L85" i="20" s="1"/>
  <c r="K85" i="20" s="1"/>
  <c r="T85" i="19"/>
  <c r="S85" i="19" s="1"/>
  <c r="P98" i="19"/>
  <c r="P87" i="19"/>
  <c r="O87" i="19" s="1"/>
  <c r="P98" i="18"/>
  <c r="S85" i="18"/>
  <c r="P87" i="18"/>
  <c r="S87" i="18" s="1"/>
  <c r="H13" i="18"/>
  <c r="K11" i="18"/>
  <c r="H15" i="18"/>
  <c r="G11" i="18"/>
  <c r="W85" i="18"/>
  <c r="T98" i="18"/>
  <c r="T87" i="18"/>
  <c r="W87" i="18" s="1"/>
  <c r="P98" i="17"/>
  <c r="S85" i="17"/>
  <c r="P87" i="17"/>
  <c r="W55" i="17"/>
  <c r="T85" i="17"/>
  <c r="AA47" i="15"/>
  <c r="P98" i="15"/>
  <c r="P87" i="15"/>
  <c r="O87" i="15" s="1"/>
  <c r="G13" i="17" l="1"/>
  <c r="AB13" i="17" s="1"/>
  <c r="AB96" i="17" s="1"/>
  <c r="H96" i="17"/>
  <c r="H97" i="17" s="1"/>
  <c r="K13" i="17"/>
  <c r="H85" i="17"/>
  <c r="H15" i="17"/>
  <c r="G15" i="17" s="1"/>
  <c r="T98" i="21"/>
  <c r="T87" i="21"/>
  <c r="S87" i="21" s="1"/>
  <c r="T94" i="20"/>
  <c r="T83" i="20"/>
  <c r="P7" i="20"/>
  <c r="P85" i="20" s="1"/>
  <c r="O85" i="20" s="1"/>
  <c r="X81" i="20"/>
  <c r="W81" i="20" s="1"/>
  <c r="T98" i="19"/>
  <c r="T87" i="19"/>
  <c r="S87" i="19" s="1"/>
  <c r="H96" i="18"/>
  <c r="H97" i="18" s="1"/>
  <c r="K13" i="18"/>
  <c r="H85" i="18"/>
  <c r="K15" i="18"/>
  <c r="G15" i="18"/>
  <c r="O87" i="17"/>
  <c r="T98" i="17"/>
  <c r="T87" i="17"/>
  <c r="G85" i="17" l="1"/>
  <c r="H98" i="17"/>
  <c r="K85" i="17"/>
  <c r="H87" i="17"/>
  <c r="S83" i="20"/>
  <c r="T7" i="20"/>
  <c r="T85" i="20" s="1"/>
  <c r="S85" i="20" s="1"/>
  <c r="AA81" i="20"/>
  <c r="X83" i="20"/>
  <c r="H98" i="18"/>
  <c r="K85" i="18"/>
  <c r="G85" i="18"/>
  <c r="H87" i="18"/>
  <c r="S87" i="17"/>
  <c r="G87" i="17" l="1"/>
  <c r="H89" i="17"/>
  <c r="K87" i="17"/>
  <c r="AA83" i="20"/>
  <c r="W83" i="20"/>
  <c r="X7" i="20"/>
  <c r="X85" i="20" s="1"/>
  <c r="W85" i="20" s="1"/>
  <c r="K87" i="18"/>
  <c r="G87" i="18"/>
  <c r="H89" i="18"/>
  <c r="W87" i="17"/>
  <c r="G89" i="17" l="1"/>
  <c r="L7" i="17"/>
  <c r="AB7" i="20"/>
  <c r="K89" i="18"/>
  <c r="L7" i="18"/>
  <c r="G89" i="18"/>
  <c r="L15" i="17" l="1"/>
  <c r="L89" i="17"/>
  <c r="L89" i="18"/>
  <c r="L15" i="18"/>
  <c r="O15" i="18" s="1"/>
  <c r="K89" i="17" l="1"/>
  <c r="P7" i="17"/>
  <c r="K15" i="17"/>
  <c r="O89" i="18"/>
  <c r="P7" i="18"/>
  <c r="P15" i="17" l="1"/>
  <c r="O15" i="17" s="1"/>
  <c r="P89" i="17"/>
  <c r="P89" i="18"/>
  <c r="P15" i="18"/>
  <c r="S15" i="18" s="1"/>
  <c r="O89" i="17" l="1"/>
  <c r="T7" i="17"/>
  <c r="S89" i="18"/>
  <c r="T7" i="18"/>
  <c r="T15" i="17" l="1"/>
  <c r="S15" i="17" s="1"/>
  <c r="T89" i="17"/>
  <c r="T89" i="18"/>
  <c r="T15" i="18"/>
  <c r="W15" i="18" s="1"/>
  <c r="S89" i="17" l="1"/>
  <c r="X7" i="17"/>
  <c r="X15" i="17" s="1"/>
  <c r="W15" i="17" s="1"/>
  <c r="W89" i="18"/>
  <c r="X7" i="18"/>
  <c r="X15" i="18" l="1"/>
  <c r="AA15" i="18" s="1"/>
  <c r="O49" i="13" l="1"/>
  <c r="Q39" i="12"/>
  <c r="AC91" i="13"/>
  <c r="AC92" i="13"/>
  <c r="AC90" i="13"/>
  <c r="Y91" i="13"/>
  <c r="Y92" i="13"/>
  <c r="Y90" i="13"/>
  <c r="U91" i="13"/>
  <c r="U92" i="13"/>
  <c r="U90" i="13"/>
  <c r="G92" i="13"/>
  <c r="G91" i="13"/>
  <c r="L47" i="13"/>
  <c r="L44" i="13"/>
  <c r="D51" i="13"/>
  <c r="Q46" i="13"/>
  <c r="Q45" i="13"/>
  <c r="M46" i="13"/>
  <c r="M45" i="13"/>
  <c r="T29" i="13"/>
  <c r="G12" i="13"/>
  <c r="K12" i="13"/>
  <c r="D14" i="13"/>
  <c r="Q34" i="14"/>
  <c r="Q35" i="14"/>
  <c r="Q36" i="14"/>
  <c r="Q37" i="14"/>
  <c r="Q38" i="14"/>
  <c r="Q33" i="14"/>
  <c r="M34" i="14"/>
  <c r="M35" i="14"/>
  <c r="M36" i="14"/>
  <c r="M37" i="14"/>
  <c r="M38" i="14"/>
  <c r="M33" i="14"/>
  <c r="P21" i="14"/>
  <c r="T21" i="14" s="1"/>
  <c r="L21" i="14"/>
  <c r="D89" i="14"/>
  <c r="D13" i="14" s="1"/>
  <c r="H85" i="14"/>
  <c r="L85" i="14" s="1"/>
  <c r="P85" i="14" s="1"/>
  <c r="AC81" i="14"/>
  <c r="Y81" i="14"/>
  <c r="U81" i="14"/>
  <c r="Q81" i="14"/>
  <c r="M81" i="14"/>
  <c r="I81" i="14"/>
  <c r="H81" i="14" s="1"/>
  <c r="G81" i="14"/>
  <c r="D81" i="14"/>
  <c r="D82" i="14" s="1"/>
  <c r="AC80" i="14"/>
  <c r="Y80" i="14"/>
  <c r="U80" i="14"/>
  <c r="Q80" i="14"/>
  <c r="M80" i="14"/>
  <c r="I80" i="14"/>
  <c r="H80" i="14" s="1"/>
  <c r="K80" i="14" s="1"/>
  <c r="G80" i="14"/>
  <c r="AC79" i="14"/>
  <c r="Y79" i="14"/>
  <c r="U79" i="14"/>
  <c r="Q79" i="14"/>
  <c r="M79" i="14"/>
  <c r="I79" i="14"/>
  <c r="H79" i="14" s="1"/>
  <c r="G79" i="14"/>
  <c r="AC78" i="14"/>
  <c r="Y78" i="14"/>
  <c r="U78" i="14"/>
  <c r="Q78" i="14"/>
  <c r="M78" i="14"/>
  <c r="I78" i="14"/>
  <c r="H78" i="14" s="1"/>
  <c r="G78" i="14"/>
  <c r="AC77" i="14"/>
  <c r="Y77" i="14"/>
  <c r="U77" i="14"/>
  <c r="Q77" i="14"/>
  <c r="M77" i="14"/>
  <c r="I77" i="14"/>
  <c r="H77" i="14" s="1"/>
  <c r="G77" i="14"/>
  <c r="AC76" i="14"/>
  <c r="Y76" i="14"/>
  <c r="U76" i="14"/>
  <c r="Q76" i="14"/>
  <c r="M76" i="14"/>
  <c r="I76" i="14"/>
  <c r="H76" i="14" s="1"/>
  <c r="G76" i="14"/>
  <c r="AC75" i="14"/>
  <c r="Y75" i="14"/>
  <c r="U75" i="14"/>
  <c r="Q75" i="14"/>
  <c r="M75" i="14"/>
  <c r="I75" i="14"/>
  <c r="H75" i="14" s="1"/>
  <c r="G75" i="14"/>
  <c r="AC74" i="14"/>
  <c r="Y74" i="14"/>
  <c r="U74" i="14"/>
  <c r="Q74" i="14"/>
  <c r="M74" i="14"/>
  <c r="I74" i="14"/>
  <c r="H74" i="14" s="1"/>
  <c r="G74" i="14"/>
  <c r="AC73" i="14"/>
  <c r="Y73" i="14"/>
  <c r="U73" i="14"/>
  <c r="Q73" i="14"/>
  <c r="M73" i="14"/>
  <c r="I73" i="14"/>
  <c r="H73" i="14" s="1"/>
  <c r="G73" i="14"/>
  <c r="AC72" i="14"/>
  <c r="Y72" i="14"/>
  <c r="U72" i="14"/>
  <c r="Q72" i="14"/>
  <c r="M72" i="14"/>
  <c r="I72" i="14"/>
  <c r="H72" i="14" s="1"/>
  <c r="K72" i="14" s="1"/>
  <c r="G72" i="14"/>
  <c r="AC71" i="14"/>
  <c r="Y71" i="14"/>
  <c r="U71" i="14"/>
  <c r="Q71" i="14"/>
  <c r="M71" i="14"/>
  <c r="I71" i="14"/>
  <c r="H71" i="14" s="1"/>
  <c r="G71" i="14"/>
  <c r="AC70" i="14"/>
  <c r="Y70" i="14"/>
  <c r="U70" i="14"/>
  <c r="Q70" i="14"/>
  <c r="M70" i="14"/>
  <c r="I70" i="14"/>
  <c r="H70" i="14" s="1"/>
  <c r="G70" i="14"/>
  <c r="AC69" i="14"/>
  <c r="Y69" i="14"/>
  <c r="U69" i="14"/>
  <c r="Q69" i="14"/>
  <c r="M69" i="14"/>
  <c r="I69" i="14"/>
  <c r="H69" i="14" s="1"/>
  <c r="G69" i="14"/>
  <c r="D66" i="14"/>
  <c r="G66" i="14" s="1"/>
  <c r="AC65" i="14"/>
  <c r="Y65" i="14"/>
  <c r="U65" i="14"/>
  <c r="Q65" i="14"/>
  <c r="M65" i="14"/>
  <c r="I65" i="14"/>
  <c r="H65" i="14" s="1"/>
  <c r="G65" i="14"/>
  <c r="AC64" i="14"/>
  <c r="Y64" i="14"/>
  <c r="U64" i="14"/>
  <c r="Q64" i="14"/>
  <c r="M64" i="14"/>
  <c r="I64" i="14"/>
  <c r="H64" i="14" s="1"/>
  <c r="G64" i="14"/>
  <c r="AC63" i="14"/>
  <c r="Y63" i="14"/>
  <c r="U63" i="14"/>
  <c r="Q63" i="14"/>
  <c r="M63" i="14"/>
  <c r="I63" i="14"/>
  <c r="H63" i="14" s="1"/>
  <c r="G63" i="14"/>
  <c r="AC62" i="14"/>
  <c r="Y62" i="14"/>
  <c r="U62" i="14"/>
  <c r="Q62" i="14"/>
  <c r="M62" i="14"/>
  <c r="I62" i="14"/>
  <c r="H62" i="14" s="1"/>
  <c r="G62" i="14"/>
  <c r="AC61" i="14"/>
  <c r="Y61" i="14"/>
  <c r="U61" i="14"/>
  <c r="Q61" i="14"/>
  <c r="M61" i="14"/>
  <c r="I61" i="14"/>
  <c r="H61" i="14" s="1"/>
  <c r="K61" i="14" s="1"/>
  <c r="G61" i="14"/>
  <c r="AC60" i="14"/>
  <c r="Y60" i="14"/>
  <c r="U60" i="14"/>
  <c r="Q60" i="14"/>
  <c r="M60" i="14"/>
  <c r="I60" i="14"/>
  <c r="H60" i="14" s="1"/>
  <c r="K60" i="14" s="1"/>
  <c r="G60" i="14"/>
  <c r="AC59" i="14"/>
  <c r="Y59" i="14"/>
  <c r="U59" i="14"/>
  <c r="Q59" i="14"/>
  <c r="M59" i="14"/>
  <c r="I59" i="14"/>
  <c r="H59" i="14" s="1"/>
  <c r="G59" i="14"/>
  <c r="D53" i="14"/>
  <c r="AC50" i="14"/>
  <c r="Y50" i="14"/>
  <c r="U50" i="14"/>
  <c r="Q50" i="14"/>
  <c r="M50" i="14"/>
  <c r="I50" i="14"/>
  <c r="E50" i="14"/>
  <c r="AC49" i="14"/>
  <c r="Y49" i="14"/>
  <c r="U49" i="14"/>
  <c r="Q49" i="14"/>
  <c r="M49" i="14"/>
  <c r="I49" i="14"/>
  <c r="H49" i="14" s="1"/>
  <c r="E49" i="14"/>
  <c r="AC48" i="14"/>
  <c r="Y48" i="14"/>
  <c r="U48" i="14"/>
  <c r="Q48" i="14"/>
  <c r="M48" i="14"/>
  <c r="I48" i="14"/>
  <c r="H48" i="14" s="1"/>
  <c r="AC47" i="14"/>
  <c r="Y47" i="14"/>
  <c r="U47" i="14"/>
  <c r="Q47" i="14"/>
  <c r="M47" i="14"/>
  <c r="I47" i="14"/>
  <c r="H47" i="14" s="1"/>
  <c r="E47" i="14"/>
  <c r="AC46" i="14"/>
  <c r="Y46" i="14"/>
  <c r="U46" i="14"/>
  <c r="Q46" i="14"/>
  <c r="M46" i="14"/>
  <c r="I46" i="14"/>
  <c r="E46" i="14"/>
  <c r="AC45" i="14"/>
  <c r="Y45" i="14"/>
  <c r="U45" i="14"/>
  <c r="Q45" i="14"/>
  <c r="M45" i="14"/>
  <c r="I45" i="14"/>
  <c r="G45" i="14"/>
  <c r="E45" i="14"/>
  <c r="U44" i="14"/>
  <c r="Q44" i="14"/>
  <c r="M44" i="14"/>
  <c r="I44" i="14"/>
  <c r="H44" i="14" s="1"/>
  <c r="E44" i="14"/>
  <c r="D41" i="14"/>
  <c r="AC39" i="14"/>
  <c r="Y39" i="14"/>
  <c r="U39" i="14"/>
  <c r="T39" i="14"/>
  <c r="X39" i="14" s="1"/>
  <c r="S39" i="14"/>
  <c r="O39" i="14"/>
  <c r="H39" i="14"/>
  <c r="K39" i="14" s="1"/>
  <c r="G39" i="14"/>
  <c r="AC38" i="14"/>
  <c r="Y38" i="14"/>
  <c r="U38" i="14"/>
  <c r="I38" i="14"/>
  <c r="H38" i="14"/>
  <c r="AC37" i="14"/>
  <c r="Y37" i="14"/>
  <c r="U37" i="14"/>
  <c r="I37" i="14"/>
  <c r="H37" i="14"/>
  <c r="K37" i="14" s="1"/>
  <c r="G37" i="14"/>
  <c r="AC36" i="14"/>
  <c r="Y36" i="14"/>
  <c r="U36" i="14"/>
  <c r="T36" i="14"/>
  <c r="W36" i="14" s="1"/>
  <c r="S36" i="14"/>
  <c r="O36" i="14"/>
  <c r="I36" i="14"/>
  <c r="H36" i="14"/>
  <c r="K36" i="14" s="1"/>
  <c r="G36" i="14"/>
  <c r="AC35" i="14"/>
  <c r="Y35" i="14"/>
  <c r="U35" i="14"/>
  <c r="I35" i="14"/>
  <c r="H35" i="14"/>
  <c r="K35" i="14" s="1"/>
  <c r="G35" i="14"/>
  <c r="AC34" i="14"/>
  <c r="Y34" i="14"/>
  <c r="U34" i="14"/>
  <c r="I34" i="14"/>
  <c r="H34" i="14"/>
  <c r="K34" i="14" s="1"/>
  <c r="G34" i="14"/>
  <c r="AC33" i="14"/>
  <c r="Y33" i="14"/>
  <c r="U33" i="14"/>
  <c r="I33" i="14"/>
  <c r="H33" i="14"/>
  <c r="G33" i="14"/>
  <c r="D30" i="14"/>
  <c r="AC28" i="14"/>
  <c r="Y28" i="14"/>
  <c r="U28" i="14"/>
  <c r="Q28" i="14"/>
  <c r="M28" i="14"/>
  <c r="K28" i="14"/>
  <c r="I28" i="14"/>
  <c r="H28" i="14"/>
  <c r="L28" i="14" s="1"/>
  <c r="G28" i="14"/>
  <c r="AC27" i="14"/>
  <c r="Y27" i="14"/>
  <c r="U27" i="14"/>
  <c r="Q27" i="14"/>
  <c r="M27" i="14"/>
  <c r="I27" i="14"/>
  <c r="H27" i="14"/>
  <c r="K27" i="14" s="1"/>
  <c r="G27" i="14"/>
  <c r="AC26" i="14"/>
  <c r="Y26" i="14"/>
  <c r="U26" i="14"/>
  <c r="Q26" i="14"/>
  <c r="M26" i="14"/>
  <c r="I26" i="14"/>
  <c r="H26" i="14"/>
  <c r="K26" i="14" s="1"/>
  <c r="G26" i="14"/>
  <c r="AC25" i="14"/>
  <c r="Y25" i="14"/>
  <c r="U25" i="14"/>
  <c r="Q25" i="14"/>
  <c r="M25" i="14"/>
  <c r="I25" i="14"/>
  <c r="H25" i="14"/>
  <c r="G25" i="14"/>
  <c r="AC24" i="14"/>
  <c r="Y24" i="14"/>
  <c r="U24" i="14"/>
  <c r="Q24" i="14"/>
  <c r="M24" i="14"/>
  <c r="I24" i="14"/>
  <c r="H24" i="14"/>
  <c r="L24" i="14" s="1"/>
  <c r="G24" i="14"/>
  <c r="AC23" i="14"/>
  <c r="Y23" i="14"/>
  <c r="U23" i="14"/>
  <c r="Q23" i="14"/>
  <c r="M23" i="14"/>
  <c r="I23" i="14"/>
  <c r="H23" i="14"/>
  <c r="G23" i="14"/>
  <c r="AC22" i="14"/>
  <c r="Y22" i="14"/>
  <c r="U22" i="14"/>
  <c r="Q22" i="14"/>
  <c r="M22" i="14"/>
  <c r="L22" i="14"/>
  <c r="O22" i="14" s="1"/>
  <c r="I22" i="14"/>
  <c r="H22" i="14"/>
  <c r="K22" i="14" s="1"/>
  <c r="G22" i="14"/>
  <c r="AC21" i="14"/>
  <c r="Y21" i="14"/>
  <c r="G21" i="14"/>
  <c r="D11" i="14"/>
  <c r="AB10" i="14"/>
  <c r="X10" i="14"/>
  <c r="AA10" i="14" s="1"/>
  <c r="T10" i="14"/>
  <c r="W10" i="14" s="1"/>
  <c r="P10" i="14"/>
  <c r="S10" i="14" s="1"/>
  <c r="L10" i="14"/>
  <c r="O10" i="14" s="1"/>
  <c r="K10" i="14"/>
  <c r="G10" i="14"/>
  <c r="L9" i="14"/>
  <c r="G9" i="14"/>
  <c r="L6" i="14"/>
  <c r="P6" i="14" s="1"/>
  <c r="T6" i="14" s="1"/>
  <c r="X6" i="14" s="1"/>
  <c r="AB6" i="14" s="1"/>
  <c r="H6" i="14"/>
  <c r="AB3" i="14"/>
  <c r="X3" i="14"/>
  <c r="T3" i="14"/>
  <c r="D94" i="13"/>
  <c r="G90" i="13"/>
  <c r="AC89" i="13"/>
  <c r="Y89" i="13"/>
  <c r="U89" i="13"/>
  <c r="G89" i="13"/>
  <c r="AC88" i="13"/>
  <c r="Y88" i="13"/>
  <c r="U88" i="13"/>
  <c r="G88" i="13"/>
  <c r="AC87" i="13"/>
  <c r="Y87" i="13"/>
  <c r="U87" i="13"/>
  <c r="G87" i="13"/>
  <c r="AC86" i="13"/>
  <c r="Y86" i="13"/>
  <c r="U86" i="13"/>
  <c r="G86" i="13"/>
  <c r="AC85" i="13"/>
  <c r="Y85" i="13"/>
  <c r="U85" i="13"/>
  <c r="G85" i="13"/>
  <c r="AC84" i="13"/>
  <c r="Y84" i="13"/>
  <c r="U84" i="13"/>
  <c r="G84" i="13"/>
  <c r="AC83" i="13"/>
  <c r="Y83" i="13"/>
  <c r="U83" i="13"/>
  <c r="G83" i="13"/>
  <c r="AC82" i="13"/>
  <c r="Y82" i="13"/>
  <c r="U82" i="13"/>
  <c r="G82" i="13"/>
  <c r="AC81" i="13"/>
  <c r="Y81" i="13"/>
  <c r="U81" i="13"/>
  <c r="G81" i="13"/>
  <c r="AC80" i="13"/>
  <c r="Y80" i="13"/>
  <c r="U80" i="13"/>
  <c r="G80" i="13"/>
  <c r="AC79" i="13"/>
  <c r="Y79" i="13"/>
  <c r="U79" i="13"/>
  <c r="G79" i="13"/>
  <c r="D76" i="13"/>
  <c r="AC75" i="13"/>
  <c r="Y75" i="13"/>
  <c r="U75" i="13"/>
  <c r="Q75" i="13"/>
  <c r="M75" i="13"/>
  <c r="I75" i="13"/>
  <c r="H75" i="13" s="1"/>
  <c r="G75" i="13"/>
  <c r="AC74" i="13"/>
  <c r="Y74" i="13"/>
  <c r="U74" i="13"/>
  <c r="Q74" i="13"/>
  <c r="M74" i="13"/>
  <c r="I74" i="13"/>
  <c r="H74" i="13" s="1"/>
  <c r="G74" i="13"/>
  <c r="AC73" i="13"/>
  <c r="Y73" i="13"/>
  <c r="U73" i="13"/>
  <c r="Q73" i="13"/>
  <c r="M73" i="13"/>
  <c r="I73" i="13"/>
  <c r="H73" i="13" s="1"/>
  <c r="G73" i="13"/>
  <c r="AC72" i="13"/>
  <c r="Y72" i="13"/>
  <c r="U72" i="13"/>
  <c r="Q72" i="13"/>
  <c r="M72" i="13"/>
  <c r="I72" i="13"/>
  <c r="H72" i="13" s="1"/>
  <c r="G72" i="13"/>
  <c r="AC71" i="13"/>
  <c r="Y71" i="13"/>
  <c r="U71" i="13"/>
  <c r="Q71" i="13"/>
  <c r="M71" i="13"/>
  <c r="I71" i="13"/>
  <c r="H71" i="13" s="1"/>
  <c r="G71" i="13"/>
  <c r="AC70" i="13"/>
  <c r="Y70" i="13"/>
  <c r="U70" i="13"/>
  <c r="Q70" i="13"/>
  <c r="M70" i="13"/>
  <c r="I70" i="13"/>
  <c r="H70" i="13" s="1"/>
  <c r="G70" i="13"/>
  <c r="AC69" i="13"/>
  <c r="Y69" i="13"/>
  <c r="U69" i="13"/>
  <c r="G69" i="13"/>
  <c r="AC60" i="13"/>
  <c r="Y60" i="13"/>
  <c r="U60" i="13"/>
  <c r="Q60" i="13"/>
  <c r="M60" i="13"/>
  <c r="I60" i="13"/>
  <c r="E60" i="13"/>
  <c r="AC59" i="13"/>
  <c r="Y59" i="13"/>
  <c r="U59" i="13"/>
  <c r="Q59" i="13"/>
  <c r="M59" i="13"/>
  <c r="I59" i="13"/>
  <c r="E59" i="13"/>
  <c r="AC58" i="13"/>
  <c r="Y58" i="13"/>
  <c r="U58" i="13"/>
  <c r="Q58" i="13"/>
  <c r="M58" i="13"/>
  <c r="L58" i="13" s="1"/>
  <c r="I58" i="13"/>
  <c r="AC57" i="13"/>
  <c r="Y57" i="13"/>
  <c r="U57" i="13"/>
  <c r="Q57" i="13"/>
  <c r="M57" i="13"/>
  <c r="I57" i="13"/>
  <c r="E57" i="13"/>
  <c r="AC56" i="13"/>
  <c r="Y56" i="13"/>
  <c r="U56" i="13"/>
  <c r="Q56" i="13"/>
  <c r="M56" i="13"/>
  <c r="I56" i="13"/>
  <c r="E56" i="13"/>
  <c r="AC55" i="13"/>
  <c r="Y55" i="13"/>
  <c r="U55" i="13"/>
  <c r="Q55" i="13"/>
  <c r="M55" i="13"/>
  <c r="I55" i="13"/>
  <c r="E55" i="13"/>
  <c r="U54" i="13"/>
  <c r="Q54" i="13"/>
  <c r="M54" i="13"/>
  <c r="I54" i="13"/>
  <c r="E54" i="13"/>
  <c r="AC49" i="13"/>
  <c r="Y49" i="13"/>
  <c r="U49" i="13"/>
  <c r="T49" i="13"/>
  <c r="H49" i="13"/>
  <c r="K49" i="13" s="1"/>
  <c r="AC48" i="13"/>
  <c r="Y48" i="13"/>
  <c r="U48" i="13"/>
  <c r="Q48" i="13"/>
  <c r="M48" i="13"/>
  <c r="L48" i="13"/>
  <c r="O48" i="13" s="1"/>
  <c r="AC47" i="13"/>
  <c r="Y47" i="13"/>
  <c r="U47" i="13"/>
  <c r="AC46" i="13"/>
  <c r="Y46" i="13"/>
  <c r="U46" i="13"/>
  <c r="AC45" i="13"/>
  <c r="Y45" i="13"/>
  <c r="U45" i="13"/>
  <c r="L45" i="13"/>
  <c r="AC44" i="13"/>
  <c r="Y44" i="13"/>
  <c r="AC43" i="13"/>
  <c r="Y43" i="13"/>
  <c r="U43" i="13"/>
  <c r="Q43" i="13"/>
  <c r="M43" i="13"/>
  <c r="L43" i="13"/>
  <c r="AC29" i="13"/>
  <c r="Y29" i="13"/>
  <c r="AC28" i="13"/>
  <c r="Y28" i="13"/>
  <c r="U28" i="13"/>
  <c r="AC27" i="13"/>
  <c r="Y27" i="13"/>
  <c r="U27" i="13"/>
  <c r="AC26" i="13"/>
  <c r="Y26" i="13"/>
  <c r="U26" i="13"/>
  <c r="AC25" i="13"/>
  <c r="Y25" i="13"/>
  <c r="AC24" i="13"/>
  <c r="Y24" i="13"/>
  <c r="U24" i="13"/>
  <c r="AB13" i="13"/>
  <c r="X13" i="13"/>
  <c r="T13" i="13"/>
  <c r="P13" i="13"/>
  <c r="H6" i="13"/>
  <c r="L6" i="13" s="1"/>
  <c r="P6" i="13" s="1"/>
  <c r="T6" i="13" s="1"/>
  <c r="X6" i="13" s="1"/>
  <c r="AB6" i="13" s="1"/>
  <c r="AB3" i="13"/>
  <c r="X3" i="13"/>
  <c r="T3" i="13"/>
  <c r="P44" i="12"/>
  <c r="F7" i="36"/>
  <c r="L85" i="12"/>
  <c r="L89" i="12" s="1"/>
  <c r="H89" i="12"/>
  <c r="D89" i="12"/>
  <c r="AC81" i="12"/>
  <c r="Y81" i="12"/>
  <c r="U81" i="12"/>
  <c r="Q81" i="12"/>
  <c r="M81" i="12"/>
  <c r="I81" i="12"/>
  <c r="D81" i="12"/>
  <c r="G81" i="12" s="1"/>
  <c r="AC80" i="12"/>
  <c r="Y80" i="12"/>
  <c r="U80" i="12"/>
  <c r="Q80" i="12"/>
  <c r="M80" i="12"/>
  <c r="I80" i="12"/>
  <c r="H80" i="12" s="1"/>
  <c r="K80" i="12" s="1"/>
  <c r="G80" i="12"/>
  <c r="AC79" i="12"/>
  <c r="Y79" i="12"/>
  <c r="U79" i="12"/>
  <c r="Q79" i="12"/>
  <c r="M79" i="12"/>
  <c r="I79" i="12"/>
  <c r="H79" i="12" s="1"/>
  <c r="G79" i="12"/>
  <c r="AC78" i="12"/>
  <c r="Y78" i="12"/>
  <c r="U78" i="12"/>
  <c r="Q78" i="12"/>
  <c r="M78" i="12"/>
  <c r="I78" i="12"/>
  <c r="H78" i="12" s="1"/>
  <c r="K78" i="12" s="1"/>
  <c r="G78" i="12"/>
  <c r="AC77" i="12"/>
  <c r="Y77" i="12"/>
  <c r="U77" i="12"/>
  <c r="Q77" i="12"/>
  <c r="M77" i="12"/>
  <c r="I77" i="12"/>
  <c r="H77" i="12" s="1"/>
  <c r="G77" i="12"/>
  <c r="AC76" i="12"/>
  <c r="Y76" i="12"/>
  <c r="U76" i="12"/>
  <c r="Q76" i="12"/>
  <c r="M76" i="12"/>
  <c r="I76" i="12"/>
  <c r="H76" i="12" s="1"/>
  <c r="G76" i="12"/>
  <c r="AC75" i="12"/>
  <c r="Y75" i="12"/>
  <c r="U75" i="12"/>
  <c r="Q75" i="12"/>
  <c r="M75" i="12"/>
  <c r="I75" i="12"/>
  <c r="H75" i="12" s="1"/>
  <c r="G75" i="12"/>
  <c r="AC74" i="12"/>
  <c r="Y74" i="12"/>
  <c r="U74" i="12"/>
  <c r="Q74" i="12"/>
  <c r="M74" i="12"/>
  <c r="I74" i="12"/>
  <c r="H74" i="12" s="1"/>
  <c r="G74" i="12"/>
  <c r="AC73" i="12"/>
  <c r="Y73" i="12"/>
  <c r="U73" i="12"/>
  <c r="Q73" i="12"/>
  <c r="M73" i="12"/>
  <c r="I73" i="12"/>
  <c r="H73" i="12" s="1"/>
  <c r="G73" i="12"/>
  <c r="AC72" i="12"/>
  <c r="Y72" i="12"/>
  <c r="U72" i="12"/>
  <c r="Q72" i="12"/>
  <c r="M72" i="12"/>
  <c r="I72" i="12"/>
  <c r="H72" i="12" s="1"/>
  <c r="G72" i="12"/>
  <c r="AC71" i="12"/>
  <c r="Y71" i="12"/>
  <c r="U71" i="12"/>
  <c r="Q71" i="12"/>
  <c r="M71" i="12"/>
  <c r="I71" i="12"/>
  <c r="H71" i="12" s="1"/>
  <c r="G71" i="12"/>
  <c r="AC70" i="12"/>
  <c r="Y70" i="12"/>
  <c r="U70" i="12"/>
  <c r="Q70" i="12"/>
  <c r="M70" i="12"/>
  <c r="I70" i="12"/>
  <c r="H70" i="12" s="1"/>
  <c r="G70" i="12"/>
  <c r="AC69" i="12"/>
  <c r="Y69" i="12"/>
  <c r="U69" i="12"/>
  <c r="Q69" i="12"/>
  <c r="M69" i="12"/>
  <c r="I69" i="12"/>
  <c r="H69" i="12" s="1"/>
  <c r="G69" i="12"/>
  <c r="D66" i="12"/>
  <c r="G66" i="12" s="1"/>
  <c r="AC65" i="12"/>
  <c r="Y65" i="12"/>
  <c r="U65" i="12"/>
  <c r="Q65" i="12"/>
  <c r="M65" i="12"/>
  <c r="I65" i="12"/>
  <c r="H65" i="12" s="1"/>
  <c r="G65" i="12"/>
  <c r="AC64" i="12"/>
  <c r="Y64" i="12"/>
  <c r="U64" i="12"/>
  <c r="Q64" i="12"/>
  <c r="M64" i="12"/>
  <c r="I64" i="12"/>
  <c r="H64" i="12" s="1"/>
  <c r="G64" i="12"/>
  <c r="AC63" i="12"/>
  <c r="Y63" i="12"/>
  <c r="U63" i="12"/>
  <c r="Q63" i="12"/>
  <c r="M63" i="12"/>
  <c r="I63" i="12"/>
  <c r="H63" i="12" s="1"/>
  <c r="G63" i="12"/>
  <c r="AC62" i="12"/>
  <c r="Y62" i="12"/>
  <c r="U62" i="12"/>
  <c r="Q62" i="12"/>
  <c r="M62" i="12"/>
  <c r="I62" i="12"/>
  <c r="H62" i="12" s="1"/>
  <c r="K62" i="12" s="1"/>
  <c r="G62" i="12"/>
  <c r="AC61" i="12"/>
  <c r="Y61" i="12"/>
  <c r="U61" i="12"/>
  <c r="Q61" i="12"/>
  <c r="M61" i="12"/>
  <c r="I61" i="12"/>
  <c r="H61" i="12" s="1"/>
  <c r="G61" i="12"/>
  <c r="AC60" i="12"/>
  <c r="Y60" i="12"/>
  <c r="U60" i="12"/>
  <c r="Q60" i="12"/>
  <c r="M60" i="12"/>
  <c r="I60" i="12"/>
  <c r="H60" i="12" s="1"/>
  <c r="K60" i="12" s="1"/>
  <c r="G60" i="12"/>
  <c r="AC59" i="12"/>
  <c r="Y59" i="12"/>
  <c r="U59" i="12"/>
  <c r="Q59" i="12"/>
  <c r="M59" i="12"/>
  <c r="I59" i="12"/>
  <c r="H59" i="12" s="1"/>
  <c r="K59" i="12" s="1"/>
  <c r="G59" i="12"/>
  <c r="D53" i="12"/>
  <c r="AC50" i="12"/>
  <c r="Y50" i="12"/>
  <c r="U50" i="12"/>
  <c r="Q50" i="12"/>
  <c r="M50" i="12"/>
  <c r="I50" i="12"/>
  <c r="E50" i="12"/>
  <c r="AC49" i="12"/>
  <c r="Y49" i="12"/>
  <c r="U49" i="12"/>
  <c r="Q49" i="12"/>
  <c r="M49" i="12"/>
  <c r="I49" i="12"/>
  <c r="E49" i="12"/>
  <c r="AC48" i="12"/>
  <c r="Y48" i="12"/>
  <c r="U48" i="12"/>
  <c r="Q48" i="12"/>
  <c r="M48" i="12"/>
  <c r="I48" i="12"/>
  <c r="AC47" i="12"/>
  <c r="Y47" i="12"/>
  <c r="U47" i="12"/>
  <c r="Q47" i="12"/>
  <c r="M47" i="12"/>
  <c r="I47" i="12"/>
  <c r="E47" i="12"/>
  <c r="AC46" i="12"/>
  <c r="Y46" i="12"/>
  <c r="U46" i="12"/>
  <c r="Q46" i="12"/>
  <c r="M46" i="12"/>
  <c r="I46" i="12"/>
  <c r="E46" i="12"/>
  <c r="AC45" i="12"/>
  <c r="Y45" i="12"/>
  <c r="U45" i="12"/>
  <c r="Q45" i="12"/>
  <c r="P45" i="12" s="1"/>
  <c r="M45" i="12"/>
  <c r="I45" i="12"/>
  <c r="E45" i="12"/>
  <c r="U44" i="12"/>
  <c r="Q44" i="12"/>
  <c r="M44" i="12"/>
  <c r="I44" i="12"/>
  <c r="E44" i="12"/>
  <c r="D41" i="12"/>
  <c r="AC39" i="12"/>
  <c r="Y39" i="12"/>
  <c r="U39" i="12"/>
  <c r="G39" i="12"/>
  <c r="AC38" i="12"/>
  <c r="Y38" i="12"/>
  <c r="U38" i="12"/>
  <c r="Q38" i="12"/>
  <c r="M38" i="12"/>
  <c r="L38" i="12"/>
  <c r="AC37" i="12"/>
  <c r="Y37" i="12"/>
  <c r="U37" i="12"/>
  <c r="Q37" i="12"/>
  <c r="M37" i="12"/>
  <c r="G37" i="12"/>
  <c r="AC36" i="12"/>
  <c r="Y36" i="12"/>
  <c r="U36" i="12"/>
  <c r="AC35" i="12"/>
  <c r="Y35" i="12"/>
  <c r="U35" i="12"/>
  <c r="Q35" i="12"/>
  <c r="M35" i="12"/>
  <c r="G35" i="12"/>
  <c r="AC34" i="12"/>
  <c r="Y34" i="12"/>
  <c r="U34" i="12"/>
  <c r="Q34" i="12"/>
  <c r="M34" i="12"/>
  <c r="L34" i="12"/>
  <c r="AC33" i="12"/>
  <c r="Y33" i="12"/>
  <c r="U33" i="12"/>
  <c r="Q33" i="12"/>
  <c r="M33" i="12"/>
  <c r="D30" i="12"/>
  <c r="G30" i="12" s="1"/>
  <c r="AC28" i="12"/>
  <c r="Y28" i="12"/>
  <c r="U28" i="12"/>
  <c r="Q28" i="12"/>
  <c r="M28" i="12"/>
  <c r="H28" i="12"/>
  <c r="K28" i="12" s="1"/>
  <c r="G28" i="12"/>
  <c r="AC27" i="12"/>
  <c r="Y27" i="12"/>
  <c r="U27" i="12"/>
  <c r="Q27" i="12"/>
  <c r="M27" i="12"/>
  <c r="H27" i="12"/>
  <c r="L27" i="12" s="1"/>
  <c r="G27" i="12"/>
  <c r="AC26" i="12"/>
  <c r="Y26" i="12"/>
  <c r="U26" i="12"/>
  <c r="Q26" i="12"/>
  <c r="M26" i="12"/>
  <c r="H26" i="12"/>
  <c r="K26" i="12" s="1"/>
  <c r="G26" i="12"/>
  <c r="AC25" i="12"/>
  <c r="Y25" i="12"/>
  <c r="U25" i="12"/>
  <c r="Q25" i="12"/>
  <c r="M25" i="12"/>
  <c r="H25" i="12"/>
  <c r="K25" i="12" s="1"/>
  <c r="G25" i="12"/>
  <c r="AC24" i="12"/>
  <c r="Y24" i="12"/>
  <c r="U24" i="12"/>
  <c r="Q24" i="12"/>
  <c r="M24" i="12"/>
  <c r="H24" i="12"/>
  <c r="K24" i="12" s="1"/>
  <c r="G24" i="12"/>
  <c r="AC23" i="12"/>
  <c r="Y23" i="12"/>
  <c r="U23" i="12"/>
  <c r="Q23" i="12"/>
  <c r="M23" i="12"/>
  <c r="H23" i="12"/>
  <c r="L23" i="12" s="1"/>
  <c r="G23" i="12"/>
  <c r="AC22" i="12"/>
  <c r="Y22" i="12"/>
  <c r="U22" i="12"/>
  <c r="Q22" i="12"/>
  <c r="M22" i="12"/>
  <c r="H22" i="12"/>
  <c r="K22" i="12" s="1"/>
  <c r="G22" i="12"/>
  <c r="AC21" i="12"/>
  <c r="Y21" i="12"/>
  <c r="U21" i="12"/>
  <c r="Q21" i="12"/>
  <c r="M21" i="12"/>
  <c r="H21" i="12"/>
  <c r="L21" i="12" s="1"/>
  <c r="G21" i="12"/>
  <c r="AB10" i="12"/>
  <c r="X10" i="12"/>
  <c r="AA10" i="12" s="1"/>
  <c r="T10" i="12"/>
  <c r="W10" i="12" s="1"/>
  <c r="O10" i="12"/>
  <c r="K10" i="12"/>
  <c r="G10" i="12"/>
  <c r="G9" i="12"/>
  <c r="H6" i="12"/>
  <c r="L6" i="12" s="1"/>
  <c r="P6" i="12" s="1"/>
  <c r="T6" i="12" s="1"/>
  <c r="X6" i="12" s="1"/>
  <c r="AB6" i="12" s="1"/>
  <c r="AB3" i="12"/>
  <c r="X3" i="12"/>
  <c r="T3" i="12"/>
  <c r="Q60" i="11"/>
  <c r="M60" i="11"/>
  <c r="I60" i="11"/>
  <c r="H60" i="11" s="1"/>
  <c r="K60" i="11" s="1"/>
  <c r="D82" i="11"/>
  <c r="AC81" i="11"/>
  <c r="Y81" i="11"/>
  <c r="U81" i="11"/>
  <c r="Q81" i="11"/>
  <c r="M81" i="11"/>
  <c r="I81" i="11"/>
  <c r="H81" i="11" s="1"/>
  <c r="G81" i="11"/>
  <c r="D81" i="11"/>
  <c r="AC80" i="11"/>
  <c r="Y80" i="11"/>
  <c r="U80" i="11"/>
  <c r="Q80" i="11"/>
  <c r="M80" i="11"/>
  <c r="I80" i="11"/>
  <c r="H80" i="11" s="1"/>
  <c r="G80" i="11"/>
  <c r="AC79" i="11"/>
  <c r="Y79" i="11"/>
  <c r="U79" i="11"/>
  <c r="Q79" i="11"/>
  <c r="M79" i="11"/>
  <c r="I79" i="11"/>
  <c r="H79" i="11" s="1"/>
  <c r="G79" i="11"/>
  <c r="AC78" i="11"/>
  <c r="Y78" i="11"/>
  <c r="U78" i="11"/>
  <c r="Q78" i="11"/>
  <c r="M78" i="11"/>
  <c r="I78" i="11"/>
  <c r="H78" i="11" s="1"/>
  <c r="G78" i="11"/>
  <c r="AC77" i="11"/>
  <c r="Y77" i="11"/>
  <c r="U77" i="11"/>
  <c r="Q77" i="11"/>
  <c r="M77" i="11"/>
  <c r="I77" i="11"/>
  <c r="H77" i="11" s="1"/>
  <c r="G77" i="11"/>
  <c r="AC76" i="11"/>
  <c r="Y76" i="11"/>
  <c r="U76" i="11"/>
  <c r="Q76" i="11"/>
  <c r="M76" i="11"/>
  <c r="I76" i="11"/>
  <c r="H76" i="11" s="1"/>
  <c r="G76" i="11"/>
  <c r="AC75" i="11"/>
  <c r="Y75" i="11"/>
  <c r="U75" i="11"/>
  <c r="Q75" i="11"/>
  <c r="M75" i="11"/>
  <c r="I75" i="11"/>
  <c r="H75" i="11" s="1"/>
  <c r="G75" i="11"/>
  <c r="AC74" i="11"/>
  <c r="Y74" i="11"/>
  <c r="U74" i="11"/>
  <c r="Q74" i="11"/>
  <c r="M74" i="11"/>
  <c r="I74" i="11"/>
  <c r="H74" i="11" s="1"/>
  <c r="G74" i="11"/>
  <c r="AC73" i="11"/>
  <c r="Y73" i="11"/>
  <c r="U73" i="11"/>
  <c r="Q73" i="11"/>
  <c r="M73" i="11"/>
  <c r="I73" i="11"/>
  <c r="H73" i="11" s="1"/>
  <c r="K73" i="11" s="1"/>
  <c r="G73" i="11"/>
  <c r="AC72" i="11"/>
  <c r="Y72" i="11"/>
  <c r="U72" i="11"/>
  <c r="Q72" i="11"/>
  <c r="M72" i="11"/>
  <c r="I72" i="11"/>
  <c r="H72" i="11" s="1"/>
  <c r="AC71" i="11"/>
  <c r="Y71" i="11"/>
  <c r="U71" i="11"/>
  <c r="Q71" i="11"/>
  <c r="M71" i="11"/>
  <c r="I71" i="11"/>
  <c r="H71" i="11" s="1"/>
  <c r="AC70" i="11"/>
  <c r="Y70" i="11"/>
  <c r="U70" i="11"/>
  <c r="Q70" i="11"/>
  <c r="M70" i="11"/>
  <c r="I70" i="11"/>
  <c r="H70" i="11" s="1"/>
  <c r="AC69" i="11"/>
  <c r="Y69" i="11"/>
  <c r="U69" i="11"/>
  <c r="D66" i="11"/>
  <c r="AC65" i="11"/>
  <c r="Y65" i="11"/>
  <c r="U65" i="11"/>
  <c r="Q65" i="11"/>
  <c r="M65" i="11"/>
  <c r="I65" i="11"/>
  <c r="H65" i="11" s="1"/>
  <c r="G65" i="11"/>
  <c r="AC64" i="11"/>
  <c r="Y64" i="11"/>
  <c r="U64" i="11"/>
  <c r="Q64" i="11"/>
  <c r="M64" i="11"/>
  <c r="I64" i="11"/>
  <c r="H64" i="11" s="1"/>
  <c r="K64" i="11" s="1"/>
  <c r="G64" i="11"/>
  <c r="AC63" i="11"/>
  <c r="Y63" i="11"/>
  <c r="U63" i="11"/>
  <c r="Q63" i="11"/>
  <c r="M63" i="11"/>
  <c r="I63" i="11"/>
  <c r="H63" i="11" s="1"/>
  <c r="G63" i="11"/>
  <c r="AC62" i="11"/>
  <c r="Y62" i="11"/>
  <c r="U62" i="11"/>
  <c r="Q62" i="11"/>
  <c r="M62" i="11"/>
  <c r="I62" i="11"/>
  <c r="H62" i="11" s="1"/>
  <c r="G62" i="11"/>
  <c r="AC61" i="11"/>
  <c r="Y61" i="11"/>
  <c r="U61" i="11"/>
  <c r="Q61" i="11"/>
  <c r="M61" i="11"/>
  <c r="I61" i="11"/>
  <c r="H61" i="11" s="1"/>
  <c r="G61" i="11"/>
  <c r="AC60" i="11"/>
  <c r="Y60" i="11"/>
  <c r="U60" i="11"/>
  <c r="G60" i="11"/>
  <c r="AC59" i="11"/>
  <c r="Y59" i="11"/>
  <c r="U59" i="11"/>
  <c r="Q59" i="11"/>
  <c r="M59" i="11"/>
  <c r="I59" i="11"/>
  <c r="H59" i="11" s="1"/>
  <c r="D53" i="11"/>
  <c r="AC50" i="11"/>
  <c r="Y50" i="11"/>
  <c r="U50" i="11"/>
  <c r="Q50" i="11"/>
  <c r="M50" i="11"/>
  <c r="I50" i="11"/>
  <c r="E50" i="11"/>
  <c r="AC49" i="11"/>
  <c r="Y49" i="11"/>
  <c r="U49" i="11"/>
  <c r="Q49" i="11"/>
  <c r="M49" i="11"/>
  <c r="I49" i="11"/>
  <c r="E49" i="11"/>
  <c r="AC48" i="11"/>
  <c r="Y48" i="11"/>
  <c r="U48" i="11"/>
  <c r="Q48" i="11"/>
  <c r="M48" i="11"/>
  <c r="I48" i="11"/>
  <c r="AC47" i="11"/>
  <c r="Y47" i="11"/>
  <c r="U47" i="11"/>
  <c r="Q47" i="11"/>
  <c r="M47" i="11"/>
  <c r="I47" i="11"/>
  <c r="E47" i="11"/>
  <c r="AC46" i="11"/>
  <c r="Y46" i="11"/>
  <c r="U46" i="11"/>
  <c r="Q46" i="11"/>
  <c r="M46" i="11"/>
  <c r="I46" i="11"/>
  <c r="E46" i="11"/>
  <c r="AC45" i="11"/>
  <c r="Y45" i="11"/>
  <c r="U45" i="11"/>
  <c r="Q45" i="11"/>
  <c r="M45" i="11"/>
  <c r="E45" i="11"/>
  <c r="U44" i="11"/>
  <c r="Q44" i="11"/>
  <c r="M44" i="11"/>
  <c r="L44" i="11" s="1"/>
  <c r="I44" i="11"/>
  <c r="E44" i="11"/>
  <c r="D41" i="11"/>
  <c r="AC39" i="11"/>
  <c r="Y39" i="11"/>
  <c r="U39" i="11"/>
  <c r="Q39" i="11"/>
  <c r="M39" i="11"/>
  <c r="I39" i="11"/>
  <c r="H39" i="11"/>
  <c r="L39" i="11" s="1"/>
  <c r="O39" i="11" s="1"/>
  <c r="G39" i="11"/>
  <c r="AC38" i="11"/>
  <c r="Y38" i="11"/>
  <c r="U38" i="11"/>
  <c r="Q38" i="11"/>
  <c r="M38" i="11"/>
  <c r="I38" i="11"/>
  <c r="H38" i="11"/>
  <c r="G38" i="11"/>
  <c r="AC37" i="11"/>
  <c r="Y37" i="11"/>
  <c r="U37" i="11"/>
  <c r="Q37" i="11"/>
  <c r="M37" i="11"/>
  <c r="I37" i="11"/>
  <c r="H37" i="11"/>
  <c r="L37" i="11" s="1"/>
  <c r="G37" i="11"/>
  <c r="AC36" i="11"/>
  <c r="Y36" i="11"/>
  <c r="U36" i="11"/>
  <c r="Q36" i="11"/>
  <c r="M36" i="11"/>
  <c r="I36" i="11"/>
  <c r="H36" i="11"/>
  <c r="G36" i="11"/>
  <c r="AC35" i="11"/>
  <c r="Y35" i="11"/>
  <c r="U35" i="11"/>
  <c r="Q35" i="11"/>
  <c r="M35" i="11"/>
  <c r="I35" i="11"/>
  <c r="H35" i="11"/>
  <c r="G35" i="11"/>
  <c r="AC34" i="11"/>
  <c r="Y34" i="11"/>
  <c r="U34" i="11"/>
  <c r="G34" i="11"/>
  <c r="AC33" i="11"/>
  <c r="Y33" i="11"/>
  <c r="U33" i="11"/>
  <c r="Q33" i="11"/>
  <c r="M33" i="11"/>
  <c r="G33" i="11"/>
  <c r="D30" i="11"/>
  <c r="AC28" i="11"/>
  <c r="Y28" i="11"/>
  <c r="U28" i="11"/>
  <c r="Q28" i="11"/>
  <c r="M28" i="11"/>
  <c r="L28" i="11"/>
  <c r="P28" i="11" s="1"/>
  <c r="S28" i="11" s="1"/>
  <c r="I28" i="11"/>
  <c r="H28" i="11"/>
  <c r="K28" i="11" s="1"/>
  <c r="G28" i="11"/>
  <c r="AC27" i="11"/>
  <c r="Y27" i="11"/>
  <c r="U27" i="11"/>
  <c r="Q27" i="11"/>
  <c r="M27" i="11"/>
  <c r="I27" i="11"/>
  <c r="H27" i="11"/>
  <c r="G27" i="11"/>
  <c r="AC26" i="11"/>
  <c r="Y26" i="11"/>
  <c r="U26" i="11"/>
  <c r="Q26" i="11"/>
  <c r="M26" i="11"/>
  <c r="L26" i="11"/>
  <c r="P26" i="11" s="1"/>
  <c r="S26" i="11" s="1"/>
  <c r="K26" i="11"/>
  <c r="I26" i="11"/>
  <c r="H26" i="11"/>
  <c r="G26" i="11"/>
  <c r="AC25" i="11"/>
  <c r="Y25" i="11"/>
  <c r="U25" i="11"/>
  <c r="Q25" i="11"/>
  <c r="M25" i="11"/>
  <c r="I25" i="11"/>
  <c r="H25" i="11"/>
  <c r="K25" i="11" s="1"/>
  <c r="G25" i="11"/>
  <c r="AC24" i="11"/>
  <c r="Y24" i="11"/>
  <c r="U24" i="11"/>
  <c r="Q24" i="11"/>
  <c r="M24" i="11"/>
  <c r="L24" i="11"/>
  <c r="I24" i="11"/>
  <c r="H24" i="11"/>
  <c r="K24" i="11" s="1"/>
  <c r="G24" i="11"/>
  <c r="AC23" i="11"/>
  <c r="Y23" i="11"/>
  <c r="U23" i="11"/>
  <c r="Q23" i="11"/>
  <c r="M23" i="11"/>
  <c r="I23" i="11"/>
  <c r="H23" i="11"/>
  <c r="K23" i="11" s="1"/>
  <c r="G23" i="11"/>
  <c r="AC22" i="11"/>
  <c r="Y22" i="11"/>
  <c r="U22" i="11"/>
  <c r="Q22" i="11"/>
  <c r="AC21" i="11"/>
  <c r="Y21" i="11"/>
  <c r="U21" i="11"/>
  <c r="L21" i="11"/>
  <c r="P21" i="11" s="1"/>
  <c r="D11" i="11"/>
  <c r="D13" i="11" s="1"/>
  <c r="AB10" i="11"/>
  <c r="AA10" i="11"/>
  <c r="X10" i="11"/>
  <c r="T10" i="11"/>
  <c r="W10" i="11" s="1"/>
  <c r="P10" i="11"/>
  <c r="S10" i="11" s="1"/>
  <c r="L10" i="11"/>
  <c r="O10" i="11" s="1"/>
  <c r="K10" i="11"/>
  <c r="G10" i="11"/>
  <c r="H9" i="11"/>
  <c r="L6" i="11"/>
  <c r="P6" i="11" s="1"/>
  <c r="T6" i="11" s="1"/>
  <c r="X6" i="11" s="1"/>
  <c r="AB6" i="11" s="1"/>
  <c r="H6" i="11"/>
  <c r="AB3" i="11"/>
  <c r="X3" i="11"/>
  <c r="T3" i="11"/>
  <c r="F16" i="36"/>
  <c r="D82" i="10"/>
  <c r="Q22" i="10"/>
  <c r="L22" i="10"/>
  <c r="P22" i="10" s="1"/>
  <c r="AC81" i="10"/>
  <c r="Y81" i="10"/>
  <c r="U81" i="10"/>
  <c r="Q81" i="10"/>
  <c r="M81" i="10"/>
  <c r="I81" i="10"/>
  <c r="H81" i="10" s="1"/>
  <c r="D81" i="10"/>
  <c r="G81" i="10" s="1"/>
  <c r="AC80" i="10"/>
  <c r="Y80" i="10"/>
  <c r="U80" i="10"/>
  <c r="Q80" i="10"/>
  <c r="M80" i="10"/>
  <c r="I80" i="10"/>
  <c r="H80" i="10" s="1"/>
  <c r="G80" i="10"/>
  <c r="AC79" i="10"/>
  <c r="Y79" i="10"/>
  <c r="U79" i="10"/>
  <c r="Q79" i="10"/>
  <c r="M79" i="10"/>
  <c r="I79" i="10"/>
  <c r="H79" i="10" s="1"/>
  <c r="G79" i="10"/>
  <c r="AC78" i="10"/>
  <c r="Y78" i="10"/>
  <c r="U78" i="10"/>
  <c r="Q78" i="10"/>
  <c r="M78" i="10"/>
  <c r="I78" i="10"/>
  <c r="H78" i="10" s="1"/>
  <c r="G78" i="10"/>
  <c r="AC77" i="10"/>
  <c r="Y77" i="10"/>
  <c r="U77" i="10"/>
  <c r="Q77" i="10"/>
  <c r="M77" i="10"/>
  <c r="I77" i="10"/>
  <c r="H77" i="10" s="1"/>
  <c r="G77" i="10"/>
  <c r="AC76" i="10"/>
  <c r="Y76" i="10"/>
  <c r="U76" i="10"/>
  <c r="Q76" i="10"/>
  <c r="M76" i="10"/>
  <c r="I76" i="10"/>
  <c r="H76" i="10" s="1"/>
  <c r="G76" i="10"/>
  <c r="AC75" i="10"/>
  <c r="Y75" i="10"/>
  <c r="U75" i="10"/>
  <c r="Q75" i="10"/>
  <c r="M75" i="10"/>
  <c r="I75" i="10"/>
  <c r="H75" i="10" s="1"/>
  <c r="G75" i="10"/>
  <c r="AC74" i="10"/>
  <c r="Y74" i="10"/>
  <c r="U74" i="10"/>
  <c r="Q74" i="10"/>
  <c r="M74" i="10"/>
  <c r="I74" i="10"/>
  <c r="H74" i="10" s="1"/>
  <c r="G74" i="10"/>
  <c r="AC73" i="10"/>
  <c r="Y73" i="10"/>
  <c r="U73" i="10"/>
  <c r="Q73" i="10"/>
  <c r="M73" i="10"/>
  <c r="I73" i="10"/>
  <c r="H73" i="10" s="1"/>
  <c r="K73" i="10" s="1"/>
  <c r="G73" i="10"/>
  <c r="AC72" i="10"/>
  <c r="Y72" i="10"/>
  <c r="U72" i="10"/>
  <c r="AC71" i="10"/>
  <c r="Y71" i="10"/>
  <c r="U71" i="10"/>
  <c r="AC70" i="10"/>
  <c r="Y70" i="10"/>
  <c r="U70" i="10"/>
  <c r="AC69" i="10"/>
  <c r="Y69" i="10"/>
  <c r="U69" i="10"/>
  <c r="D66" i="10"/>
  <c r="AC65" i="10"/>
  <c r="Y65" i="10"/>
  <c r="U65" i="10"/>
  <c r="Q65" i="10"/>
  <c r="M65" i="10"/>
  <c r="I65" i="10"/>
  <c r="H65" i="10" s="1"/>
  <c r="G65" i="10"/>
  <c r="AC64" i="10"/>
  <c r="Y64" i="10"/>
  <c r="U64" i="10"/>
  <c r="Q64" i="10"/>
  <c r="M64" i="10"/>
  <c r="I64" i="10"/>
  <c r="H64" i="10" s="1"/>
  <c r="G64" i="10"/>
  <c r="AC63" i="10"/>
  <c r="Y63" i="10"/>
  <c r="U63" i="10"/>
  <c r="G63" i="10"/>
  <c r="AC62" i="10"/>
  <c r="Y62" i="10"/>
  <c r="U62" i="10"/>
  <c r="G62" i="10"/>
  <c r="AC61" i="10"/>
  <c r="Y61" i="10"/>
  <c r="U61" i="10"/>
  <c r="G61" i="10"/>
  <c r="AC60" i="10"/>
  <c r="Y60" i="10"/>
  <c r="U60" i="10"/>
  <c r="G60" i="10"/>
  <c r="AC59" i="10"/>
  <c r="Y59" i="10"/>
  <c r="U59" i="10"/>
  <c r="G59" i="10"/>
  <c r="D53" i="10"/>
  <c r="AC50" i="10"/>
  <c r="Y50" i="10"/>
  <c r="U50" i="10"/>
  <c r="Q50" i="10"/>
  <c r="M50" i="10"/>
  <c r="I50" i="10"/>
  <c r="E50" i="10"/>
  <c r="AC49" i="10"/>
  <c r="Y49" i="10"/>
  <c r="U49" i="10"/>
  <c r="Q49" i="10"/>
  <c r="M49" i="10"/>
  <c r="I49" i="10"/>
  <c r="E49" i="10"/>
  <c r="AC48" i="10"/>
  <c r="Y48" i="10"/>
  <c r="U48" i="10"/>
  <c r="Q48" i="10"/>
  <c r="M48" i="10"/>
  <c r="I48" i="10"/>
  <c r="G48" i="10"/>
  <c r="AC47" i="10"/>
  <c r="Y47" i="10"/>
  <c r="U47" i="10"/>
  <c r="Q47" i="10"/>
  <c r="P47" i="10" s="1"/>
  <c r="M47" i="10"/>
  <c r="L47" i="10" s="1"/>
  <c r="I47" i="10"/>
  <c r="E47" i="10"/>
  <c r="AC46" i="10"/>
  <c r="Y46" i="10"/>
  <c r="U46" i="10"/>
  <c r="Q46" i="10"/>
  <c r="M46" i="10"/>
  <c r="I46" i="10"/>
  <c r="G46" i="10"/>
  <c r="E46" i="10"/>
  <c r="AC45" i="10"/>
  <c r="Y45" i="10"/>
  <c r="U45" i="10"/>
  <c r="Q45" i="10"/>
  <c r="M45" i="10"/>
  <c r="I45" i="10"/>
  <c r="G45" i="10"/>
  <c r="E45" i="10"/>
  <c r="U44" i="10"/>
  <c r="Q44" i="10"/>
  <c r="M44" i="10"/>
  <c r="I44" i="10"/>
  <c r="E44" i="10"/>
  <c r="D41" i="10"/>
  <c r="AC39" i="10"/>
  <c r="Y39" i="10"/>
  <c r="U39" i="10"/>
  <c r="Q39" i="10"/>
  <c r="M39" i="10"/>
  <c r="I39" i="10"/>
  <c r="H39" i="10"/>
  <c r="K39" i="10" s="1"/>
  <c r="G39" i="10"/>
  <c r="AC38" i="10"/>
  <c r="Y38" i="10"/>
  <c r="U38" i="10"/>
  <c r="Q38" i="10"/>
  <c r="M38" i="10"/>
  <c r="L38" i="10"/>
  <c r="P38" i="10" s="1"/>
  <c r="I38" i="10"/>
  <c r="H38" i="10"/>
  <c r="K38" i="10" s="1"/>
  <c r="G38" i="10"/>
  <c r="AC37" i="10"/>
  <c r="Y37" i="10"/>
  <c r="U37" i="10"/>
  <c r="Q37" i="10"/>
  <c r="M37" i="10"/>
  <c r="I37" i="10"/>
  <c r="H37" i="10"/>
  <c r="K37" i="10" s="1"/>
  <c r="G37" i="10"/>
  <c r="AC36" i="10"/>
  <c r="Y36" i="10"/>
  <c r="U36" i="10"/>
  <c r="Q36" i="10"/>
  <c r="M36" i="10"/>
  <c r="I36" i="10"/>
  <c r="H36" i="10"/>
  <c r="K36" i="10" s="1"/>
  <c r="G36" i="10"/>
  <c r="AC35" i="10"/>
  <c r="Y35" i="10"/>
  <c r="U35" i="10"/>
  <c r="Q35" i="10"/>
  <c r="M35" i="10"/>
  <c r="I35" i="10"/>
  <c r="H35" i="10"/>
  <c r="K35" i="10" s="1"/>
  <c r="G35" i="10"/>
  <c r="AC34" i="10"/>
  <c r="Y34" i="10"/>
  <c r="U34" i="10"/>
  <c r="Q34" i="10"/>
  <c r="M34" i="10"/>
  <c r="K34" i="10"/>
  <c r="I34" i="10"/>
  <c r="H34" i="10"/>
  <c r="L34" i="10" s="1"/>
  <c r="O34" i="10" s="1"/>
  <c r="G34" i="10"/>
  <c r="AC33" i="10"/>
  <c r="Y33" i="10"/>
  <c r="U33" i="10"/>
  <c r="Q33" i="10"/>
  <c r="M33" i="10"/>
  <c r="I33" i="10"/>
  <c r="H33" i="10"/>
  <c r="G33" i="10"/>
  <c r="D30" i="10"/>
  <c r="AC28" i="10"/>
  <c r="Y28" i="10"/>
  <c r="U28" i="10"/>
  <c r="Q28" i="10"/>
  <c r="M28" i="10"/>
  <c r="I28" i="10"/>
  <c r="H28" i="10"/>
  <c r="K28" i="10" s="1"/>
  <c r="G28" i="10"/>
  <c r="AC27" i="10"/>
  <c r="Y27" i="10"/>
  <c r="U27" i="10"/>
  <c r="Q27" i="10"/>
  <c r="M27" i="10"/>
  <c r="I27" i="10"/>
  <c r="H27" i="10"/>
  <c r="K27" i="10" s="1"/>
  <c r="G27" i="10"/>
  <c r="AC26" i="10"/>
  <c r="Y26" i="10"/>
  <c r="U26" i="10"/>
  <c r="Q26" i="10"/>
  <c r="M26" i="10"/>
  <c r="I26" i="10"/>
  <c r="H26" i="10"/>
  <c r="K26" i="10" s="1"/>
  <c r="G26" i="10"/>
  <c r="AC25" i="10"/>
  <c r="Y25" i="10"/>
  <c r="U25" i="10"/>
  <c r="Q25" i="10"/>
  <c r="M25" i="10"/>
  <c r="I25" i="10"/>
  <c r="H25" i="10"/>
  <c r="L25" i="10" s="1"/>
  <c r="G25" i="10"/>
  <c r="AC24" i="10"/>
  <c r="Y24" i="10"/>
  <c r="U24" i="10"/>
  <c r="Q24" i="10"/>
  <c r="M24" i="10"/>
  <c r="I24" i="10"/>
  <c r="H24" i="10"/>
  <c r="K24" i="10" s="1"/>
  <c r="G24" i="10"/>
  <c r="AC23" i="10"/>
  <c r="Y23" i="10"/>
  <c r="U23" i="10"/>
  <c r="Q23" i="10"/>
  <c r="M23" i="10"/>
  <c r="L23" i="10"/>
  <c r="P23" i="10" s="1"/>
  <c r="K23" i="10"/>
  <c r="I23" i="10"/>
  <c r="H23" i="10"/>
  <c r="G23" i="10"/>
  <c r="AC22" i="10"/>
  <c r="Y22" i="10"/>
  <c r="U22" i="10"/>
  <c r="G22" i="10"/>
  <c r="AC21" i="10"/>
  <c r="Y21" i="10"/>
  <c r="U21" i="10"/>
  <c r="Q21" i="10"/>
  <c r="M21" i="10"/>
  <c r="L21" i="10"/>
  <c r="P21" i="10" s="1"/>
  <c r="AB10" i="10"/>
  <c r="X10" i="10"/>
  <c r="AA10" i="10" s="1"/>
  <c r="T10" i="10"/>
  <c r="W10" i="10" s="1"/>
  <c r="P10" i="10"/>
  <c r="S10" i="10" s="1"/>
  <c r="L10" i="10"/>
  <c r="O10" i="10" s="1"/>
  <c r="K10" i="10"/>
  <c r="G10" i="10"/>
  <c r="L6" i="10"/>
  <c r="P6" i="10" s="1"/>
  <c r="T6" i="10" s="1"/>
  <c r="X6" i="10" s="1"/>
  <c r="AB6" i="10" s="1"/>
  <c r="H6" i="10"/>
  <c r="AB3" i="10"/>
  <c r="AB9" i="10" s="1"/>
  <c r="AB11" i="10" s="1"/>
  <c r="X3" i="10"/>
  <c r="X9" i="10" s="1"/>
  <c r="T3" i="10"/>
  <c r="T9" i="10" s="1"/>
  <c r="L68" i="6"/>
  <c r="P68" i="6" s="1"/>
  <c r="D13" i="9"/>
  <c r="D96" i="9" s="1"/>
  <c r="E50" i="4"/>
  <c r="E49" i="4"/>
  <c r="E47" i="4"/>
  <c r="E46" i="4"/>
  <c r="E45" i="4"/>
  <c r="E44" i="4"/>
  <c r="E50" i="7"/>
  <c r="E49" i="7"/>
  <c r="E47" i="7"/>
  <c r="E46" i="7"/>
  <c r="E45" i="7"/>
  <c r="E44" i="7"/>
  <c r="E50" i="9"/>
  <c r="E49" i="9"/>
  <c r="E47" i="9"/>
  <c r="E46" i="9"/>
  <c r="E45" i="9"/>
  <c r="E44" i="9"/>
  <c r="E49" i="6"/>
  <c r="E48" i="6"/>
  <c r="E46" i="6"/>
  <c r="E45" i="6"/>
  <c r="E44" i="6"/>
  <c r="E43" i="6"/>
  <c r="E50" i="3"/>
  <c r="E49" i="3"/>
  <c r="E47" i="3"/>
  <c r="E46" i="3"/>
  <c r="E45" i="3"/>
  <c r="G22" i="6"/>
  <c r="AC81" i="9"/>
  <c r="Y81" i="9"/>
  <c r="U81" i="9"/>
  <c r="Q81" i="9"/>
  <c r="M81" i="9"/>
  <c r="I81" i="9"/>
  <c r="D81" i="9"/>
  <c r="AC80" i="9"/>
  <c r="Y80" i="9"/>
  <c r="U80" i="9"/>
  <c r="Q80" i="9"/>
  <c r="M80" i="9"/>
  <c r="I80" i="9"/>
  <c r="H80" i="9" s="1"/>
  <c r="G80" i="9"/>
  <c r="AC79" i="9"/>
  <c r="Y79" i="9"/>
  <c r="U79" i="9"/>
  <c r="Q79" i="9"/>
  <c r="M79" i="9"/>
  <c r="I79" i="9"/>
  <c r="H79" i="9" s="1"/>
  <c r="G79" i="9"/>
  <c r="AC78" i="9"/>
  <c r="Y78" i="9"/>
  <c r="U78" i="9"/>
  <c r="G78" i="9"/>
  <c r="AC77" i="9"/>
  <c r="Y77" i="9"/>
  <c r="U77" i="9"/>
  <c r="Q77" i="9"/>
  <c r="M77" i="9"/>
  <c r="I77" i="9"/>
  <c r="H77" i="9" s="1"/>
  <c r="G77" i="9"/>
  <c r="AC76" i="9"/>
  <c r="Y76" i="9"/>
  <c r="U76" i="9"/>
  <c r="Q76" i="9"/>
  <c r="M76" i="9"/>
  <c r="I76" i="9"/>
  <c r="H76" i="9" s="1"/>
  <c r="G76" i="9"/>
  <c r="AC75" i="9"/>
  <c r="Y75" i="9"/>
  <c r="U75" i="9"/>
  <c r="Q75" i="9"/>
  <c r="M75" i="9"/>
  <c r="I75" i="9"/>
  <c r="H75" i="9" s="1"/>
  <c r="G75" i="9"/>
  <c r="AC74" i="9"/>
  <c r="Y74" i="9"/>
  <c r="U74" i="9"/>
  <c r="Q74" i="9"/>
  <c r="M74" i="9"/>
  <c r="I74" i="9"/>
  <c r="H74" i="9" s="1"/>
  <c r="G74" i="9"/>
  <c r="AC73" i="9"/>
  <c r="Y73" i="9"/>
  <c r="U73" i="9"/>
  <c r="Q73" i="9"/>
  <c r="M73" i="9"/>
  <c r="I73" i="9"/>
  <c r="H73" i="9" s="1"/>
  <c r="G73" i="9"/>
  <c r="AC72" i="9"/>
  <c r="Y72" i="9"/>
  <c r="U72" i="9"/>
  <c r="Q72" i="9"/>
  <c r="M72" i="9"/>
  <c r="I72" i="9"/>
  <c r="H72" i="9" s="1"/>
  <c r="G72" i="9"/>
  <c r="AC71" i="9"/>
  <c r="Y71" i="9"/>
  <c r="U71" i="9"/>
  <c r="Q71" i="9"/>
  <c r="M71" i="9"/>
  <c r="I71" i="9"/>
  <c r="H71" i="9" s="1"/>
  <c r="G71" i="9"/>
  <c r="AC70" i="9"/>
  <c r="Y70" i="9"/>
  <c r="U70" i="9"/>
  <c r="Q70" i="9"/>
  <c r="M70" i="9"/>
  <c r="I70" i="9"/>
  <c r="H70" i="9" s="1"/>
  <c r="G70" i="9"/>
  <c r="AC69" i="9"/>
  <c r="Y69" i="9"/>
  <c r="U69" i="9"/>
  <c r="Q69" i="9"/>
  <c r="M69" i="9"/>
  <c r="I69" i="9"/>
  <c r="H69" i="9" s="1"/>
  <c r="G69" i="9"/>
  <c r="D66" i="9"/>
  <c r="AC65" i="9"/>
  <c r="Y65" i="9"/>
  <c r="U65" i="9"/>
  <c r="Q65" i="9"/>
  <c r="M65" i="9"/>
  <c r="I65" i="9"/>
  <c r="H65" i="9" s="1"/>
  <c r="G65" i="9"/>
  <c r="AC64" i="9"/>
  <c r="Y64" i="9"/>
  <c r="U64" i="9"/>
  <c r="Q64" i="9"/>
  <c r="M64" i="9"/>
  <c r="I64" i="9"/>
  <c r="H64" i="9" s="1"/>
  <c r="K64" i="9" s="1"/>
  <c r="G64" i="9"/>
  <c r="AC63" i="9"/>
  <c r="Y63" i="9"/>
  <c r="U63" i="9"/>
  <c r="Q63" i="9"/>
  <c r="M63" i="9"/>
  <c r="I63" i="9"/>
  <c r="H63" i="9" s="1"/>
  <c r="G63" i="9"/>
  <c r="AC62" i="9"/>
  <c r="Y62" i="9"/>
  <c r="U62" i="9"/>
  <c r="G62" i="9"/>
  <c r="AC61" i="9"/>
  <c r="Y61" i="9"/>
  <c r="U61" i="9"/>
  <c r="Q61" i="9"/>
  <c r="M61" i="9"/>
  <c r="I61" i="9"/>
  <c r="H61" i="9" s="1"/>
  <c r="G61" i="9"/>
  <c r="AC60" i="9"/>
  <c r="Y60" i="9"/>
  <c r="U60" i="9"/>
  <c r="Q60" i="9"/>
  <c r="M60" i="9"/>
  <c r="I60" i="9"/>
  <c r="H60" i="9" s="1"/>
  <c r="G60" i="9"/>
  <c r="AC59" i="9"/>
  <c r="Y59" i="9"/>
  <c r="U59" i="9"/>
  <c r="Q59" i="9"/>
  <c r="M59" i="9"/>
  <c r="I59" i="9"/>
  <c r="H59" i="9" s="1"/>
  <c r="K59" i="9" s="1"/>
  <c r="G59" i="9"/>
  <c r="D53" i="9"/>
  <c r="G53" i="9" s="1"/>
  <c r="H52" i="9"/>
  <c r="K52" i="9" s="1"/>
  <c r="G52" i="9"/>
  <c r="H51" i="9"/>
  <c r="L51" i="9" s="1"/>
  <c r="G51" i="9"/>
  <c r="AC50" i="9"/>
  <c r="Y50" i="9"/>
  <c r="U50" i="9"/>
  <c r="Q50" i="9"/>
  <c r="M50" i="9"/>
  <c r="I50" i="9"/>
  <c r="G50" i="9"/>
  <c r="AC49" i="9"/>
  <c r="Y49" i="9"/>
  <c r="U49" i="9"/>
  <c r="Q49" i="9"/>
  <c r="M49" i="9"/>
  <c r="I49" i="9"/>
  <c r="G49" i="9"/>
  <c r="AC48" i="9"/>
  <c r="Y48" i="9"/>
  <c r="U48" i="9"/>
  <c r="Q48" i="9"/>
  <c r="M48" i="9"/>
  <c r="I48" i="9"/>
  <c r="H48" i="9" s="1"/>
  <c r="K48" i="9" s="1"/>
  <c r="G48" i="9"/>
  <c r="AC47" i="9"/>
  <c r="Y47" i="9"/>
  <c r="U47" i="9"/>
  <c r="Q47" i="9"/>
  <c r="M47" i="9"/>
  <c r="I47" i="9"/>
  <c r="G47" i="9"/>
  <c r="AC46" i="9"/>
  <c r="Y46" i="9"/>
  <c r="U46" i="9"/>
  <c r="Q46" i="9"/>
  <c r="M46" i="9"/>
  <c r="I46" i="9"/>
  <c r="G46" i="9"/>
  <c r="AC45" i="9"/>
  <c r="Y45" i="9"/>
  <c r="U45" i="9"/>
  <c r="Q45" i="9"/>
  <c r="M45" i="9"/>
  <c r="I45" i="9"/>
  <c r="G45" i="9"/>
  <c r="U44" i="9"/>
  <c r="Q44" i="9"/>
  <c r="M44" i="9"/>
  <c r="I44" i="9"/>
  <c r="G44" i="9"/>
  <c r="D41" i="9"/>
  <c r="G41" i="9" s="1"/>
  <c r="AC39" i="9"/>
  <c r="Y39" i="9"/>
  <c r="U39" i="9"/>
  <c r="Q39" i="9"/>
  <c r="M39" i="9"/>
  <c r="I39" i="9"/>
  <c r="H39" i="9"/>
  <c r="L39" i="9" s="1"/>
  <c r="G39" i="9"/>
  <c r="AC38" i="9"/>
  <c r="Y38" i="9"/>
  <c r="U38" i="9"/>
  <c r="Q38" i="9"/>
  <c r="M38" i="9"/>
  <c r="I38" i="9"/>
  <c r="H38" i="9"/>
  <c r="K38" i="9" s="1"/>
  <c r="G38" i="9"/>
  <c r="AC37" i="9"/>
  <c r="Y37" i="9"/>
  <c r="U37" i="9"/>
  <c r="Q37" i="9"/>
  <c r="M37" i="9"/>
  <c r="I37" i="9"/>
  <c r="H37" i="9"/>
  <c r="K37" i="9" s="1"/>
  <c r="G37" i="9"/>
  <c r="AC36" i="9"/>
  <c r="Y36" i="9"/>
  <c r="U36" i="9"/>
  <c r="Q36" i="9"/>
  <c r="M36" i="9"/>
  <c r="I36" i="9"/>
  <c r="H36" i="9"/>
  <c r="K36" i="9" s="1"/>
  <c r="G36" i="9"/>
  <c r="AC35" i="9"/>
  <c r="Y35" i="9"/>
  <c r="U35" i="9"/>
  <c r="Q35" i="9"/>
  <c r="M35" i="9"/>
  <c r="K35" i="9"/>
  <c r="I35" i="9"/>
  <c r="H35" i="9"/>
  <c r="L35" i="9" s="1"/>
  <c r="G35" i="9"/>
  <c r="AC34" i="9"/>
  <c r="Y34" i="9"/>
  <c r="U34" i="9"/>
  <c r="Q34" i="9"/>
  <c r="M34" i="9"/>
  <c r="I34" i="9"/>
  <c r="H34" i="9"/>
  <c r="G34" i="9"/>
  <c r="AC33" i="9"/>
  <c r="Y33" i="9"/>
  <c r="U33" i="9"/>
  <c r="Q33" i="9"/>
  <c r="M33" i="9"/>
  <c r="I33" i="9"/>
  <c r="H33" i="9"/>
  <c r="K33" i="9" s="1"/>
  <c r="G33" i="9"/>
  <c r="D30" i="9"/>
  <c r="G30" i="9" s="1"/>
  <c r="AC28" i="9"/>
  <c r="Y28" i="9"/>
  <c r="U28" i="9"/>
  <c r="Q28" i="9"/>
  <c r="M28" i="9"/>
  <c r="I28" i="9"/>
  <c r="H28" i="9"/>
  <c r="L28" i="9" s="1"/>
  <c r="O28" i="9" s="1"/>
  <c r="G28" i="9"/>
  <c r="AC27" i="9"/>
  <c r="Y27" i="9"/>
  <c r="U27" i="9"/>
  <c r="Q27" i="9"/>
  <c r="M27" i="9"/>
  <c r="I27" i="9"/>
  <c r="H27" i="9"/>
  <c r="L27" i="9" s="1"/>
  <c r="G27" i="9"/>
  <c r="AC26" i="9"/>
  <c r="Y26" i="9"/>
  <c r="U26" i="9"/>
  <c r="Q26" i="9"/>
  <c r="M26" i="9"/>
  <c r="I26" i="9"/>
  <c r="H26" i="9"/>
  <c r="L26" i="9" s="1"/>
  <c r="P26" i="9" s="1"/>
  <c r="G26" i="9"/>
  <c r="AC25" i="9"/>
  <c r="Y25" i="9"/>
  <c r="U25" i="9"/>
  <c r="Q25" i="9"/>
  <c r="M25" i="9"/>
  <c r="I25" i="9"/>
  <c r="H25" i="9"/>
  <c r="K25" i="9" s="1"/>
  <c r="G25" i="9"/>
  <c r="AC24" i="9"/>
  <c r="Y24" i="9"/>
  <c r="U24" i="9"/>
  <c r="Q24" i="9"/>
  <c r="M24" i="9"/>
  <c r="I24" i="9"/>
  <c r="H24" i="9"/>
  <c r="L24" i="9" s="1"/>
  <c r="P24" i="9" s="1"/>
  <c r="G24" i="9"/>
  <c r="AC23" i="9"/>
  <c r="Y23" i="9"/>
  <c r="U23" i="9"/>
  <c r="Q23" i="9"/>
  <c r="M23" i="9"/>
  <c r="I23" i="9"/>
  <c r="H23" i="9"/>
  <c r="L23" i="9" s="1"/>
  <c r="O23" i="9" s="1"/>
  <c r="G23" i="9"/>
  <c r="AC22" i="9"/>
  <c r="Y22" i="9"/>
  <c r="U22" i="9"/>
  <c r="Q22" i="9"/>
  <c r="M22" i="9"/>
  <c r="I22" i="9"/>
  <c r="H22" i="9"/>
  <c r="L22" i="9" s="1"/>
  <c r="O22" i="9" s="1"/>
  <c r="G22" i="9"/>
  <c r="AC21" i="9"/>
  <c r="Y21" i="9"/>
  <c r="U21" i="9"/>
  <c r="Q21" i="9"/>
  <c r="M21" i="9"/>
  <c r="I21" i="9"/>
  <c r="H21" i="9"/>
  <c r="K21" i="9" s="1"/>
  <c r="G21" i="9"/>
  <c r="AB10" i="9"/>
  <c r="AA10" i="9"/>
  <c r="X10" i="9"/>
  <c r="T10" i="9"/>
  <c r="W10" i="9" s="1"/>
  <c r="P10" i="9"/>
  <c r="K10" i="9"/>
  <c r="G10" i="9"/>
  <c r="L6" i="9"/>
  <c r="P6" i="9" s="1"/>
  <c r="T6" i="9" s="1"/>
  <c r="X6" i="9" s="1"/>
  <c r="AB6" i="9" s="1"/>
  <c r="H6" i="9"/>
  <c r="D3" i="9"/>
  <c r="L79" i="11" l="1"/>
  <c r="O79" i="11" s="1"/>
  <c r="L75" i="10"/>
  <c r="L79" i="10"/>
  <c r="K23" i="9"/>
  <c r="S10" i="12"/>
  <c r="S10" i="9"/>
  <c r="H13" i="36"/>
  <c r="L27" i="10"/>
  <c r="P27" i="10" s="1"/>
  <c r="L36" i="10"/>
  <c r="P36" i="10" s="1"/>
  <c r="O28" i="11"/>
  <c r="L23" i="11"/>
  <c r="O23" i="11" s="1"/>
  <c r="H13" i="12"/>
  <c r="P85" i="12"/>
  <c r="P89" i="12" s="1"/>
  <c r="H89" i="14"/>
  <c r="G48" i="11"/>
  <c r="P47" i="13"/>
  <c r="O47" i="13" s="1"/>
  <c r="K47" i="13"/>
  <c r="P43" i="13"/>
  <c r="T43" i="13" s="1"/>
  <c r="K43" i="13"/>
  <c r="P45" i="13"/>
  <c r="K45" i="13"/>
  <c r="O45" i="13"/>
  <c r="P44" i="13"/>
  <c r="T44" i="13" s="1"/>
  <c r="O44" i="13"/>
  <c r="K44" i="13"/>
  <c r="G21" i="10"/>
  <c r="L9" i="10"/>
  <c r="L36" i="9"/>
  <c r="O36" i="9" s="1"/>
  <c r="K39" i="9"/>
  <c r="L21" i="9"/>
  <c r="O21" i="9" s="1"/>
  <c r="H41" i="12"/>
  <c r="G9" i="13"/>
  <c r="G4" i="27"/>
  <c r="G4" i="28" s="1"/>
  <c r="O4" i="28" s="1"/>
  <c r="L81" i="14"/>
  <c r="O81" i="14" s="1"/>
  <c r="L74" i="10"/>
  <c r="O74" i="10" s="1"/>
  <c r="L78" i="10"/>
  <c r="L76" i="10"/>
  <c r="P76" i="10" s="1"/>
  <c r="L80" i="10"/>
  <c r="L48" i="14"/>
  <c r="L62" i="14"/>
  <c r="P62" i="14" s="1"/>
  <c r="T62" i="14" s="1"/>
  <c r="L77" i="10"/>
  <c r="O77" i="10" s="1"/>
  <c r="L60" i="9"/>
  <c r="O60" i="9" s="1"/>
  <c r="L64" i="14"/>
  <c r="P64" i="14" s="1"/>
  <c r="L61" i="11"/>
  <c r="P61" i="11" s="1"/>
  <c r="T61" i="11" s="1"/>
  <c r="L71" i="11"/>
  <c r="P71" i="11" s="1"/>
  <c r="L9" i="12"/>
  <c r="L11" i="12" s="1"/>
  <c r="L103" i="12" s="1"/>
  <c r="K21" i="10"/>
  <c r="T85" i="12"/>
  <c r="O26" i="11"/>
  <c r="P24" i="33"/>
  <c r="P32" i="32"/>
  <c r="P31" i="30"/>
  <c r="P32" i="30" s="1"/>
  <c r="Q32" i="30" s="1"/>
  <c r="K22" i="6"/>
  <c r="K74" i="14"/>
  <c r="L74" i="14"/>
  <c r="P74" i="14" s="1"/>
  <c r="T74" i="14" s="1"/>
  <c r="H81" i="9"/>
  <c r="K70" i="10"/>
  <c r="L59" i="11"/>
  <c r="P59" i="11" s="1"/>
  <c r="L65" i="14"/>
  <c r="P65" i="14" s="1"/>
  <c r="L75" i="11"/>
  <c r="O75" i="11" s="1"/>
  <c r="K75" i="11"/>
  <c r="L76" i="14"/>
  <c r="P76" i="14" s="1"/>
  <c r="T76" i="14" s="1"/>
  <c r="K76" i="14"/>
  <c r="L77" i="11"/>
  <c r="O77" i="11" s="1"/>
  <c r="K77" i="11"/>
  <c r="L78" i="14"/>
  <c r="P78" i="14" s="1"/>
  <c r="S78" i="14" s="1"/>
  <c r="K78" i="14"/>
  <c r="L70" i="14"/>
  <c r="P70" i="14" s="1"/>
  <c r="T70" i="14" s="1"/>
  <c r="K70" i="14"/>
  <c r="L62" i="11"/>
  <c r="O62" i="11" s="1"/>
  <c r="L72" i="14"/>
  <c r="P72" i="14" s="1"/>
  <c r="S72" i="14" s="1"/>
  <c r="L80" i="14"/>
  <c r="P80" i="14" s="1"/>
  <c r="T80" i="14" s="1"/>
  <c r="L65" i="9"/>
  <c r="P65" i="9" s="1"/>
  <c r="L73" i="10"/>
  <c r="P73" i="10" s="1"/>
  <c r="L73" i="11"/>
  <c r="O73" i="11" s="1"/>
  <c r="L60" i="14"/>
  <c r="O60" i="14" s="1"/>
  <c r="L63" i="11"/>
  <c r="O63" i="11" s="1"/>
  <c r="L64" i="11"/>
  <c r="P64" i="11" s="1"/>
  <c r="K79" i="11"/>
  <c r="G48" i="12"/>
  <c r="D63" i="13"/>
  <c r="K91" i="13"/>
  <c r="K92" i="13"/>
  <c r="L46" i="13"/>
  <c r="H101" i="13"/>
  <c r="G47" i="27" s="1"/>
  <c r="H51" i="13"/>
  <c r="T84" i="13"/>
  <c r="O12" i="13"/>
  <c r="T80" i="13"/>
  <c r="T88" i="13"/>
  <c r="T90" i="13"/>
  <c r="L70" i="13"/>
  <c r="O70" i="13" s="1"/>
  <c r="L74" i="13"/>
  <c r="P74" i="13" s="1"/>
  <c r="S74" i="13" s="1"/>
  <c r="L72" i="13"/>
  <c r="P72" i="13" s="1"/>
  <c r="L35" i="14"/>
  <c r="P35" i="14" s="1"/>
  <c r="W39" i="14"/>
  <c r="H41" i="14"/>
  <c r="H45" i="14" s="1"/>
  <c r="L26" i="14"/>
  <c r="O28" i="14"/>
  <c r="P28" i="14"/>
  <c r="S28" i="14" s="1"/>
  <c r="O24" i="14"/>
  <c r="P24" i="14"/>
  <c r="T24" i="14" s="1"/>
  <c r="P22" i="14"/>
  <c r="T22" i="14" s="1"/>
  <c r="K24" i="14"/>
  <c r="L34" i="14"/>
  <c r="P34" i="14" s="1"/>
  <c r="X36" i="14"/>
  <c r="AA36" i="14" s="1"/>
  <c r="AB39" i="14"/>
  <c r="AA39" i="14" s="1"/>
  <c r="L33" i="14"/>
  <c r="L37" i="14"/>
  <c r="P37" i="14" s="1"/>
  <c r="L11" i="14"/>
  <c r="L13" i="14" s="1"/>
  <c r="P9" i="14"/>
  <c r="O9" i="14" s="1"/>
  <c r="D102" i="14"/>
  <c r="D15" i="14"/>
  <c r="K25" i="14"/>
  <c r="L25" i="14"/>
  <c r="H30" i="14"/>
  <c r="K21" i="14"/>
  <c r="S24" i="14"/>
  <c r="G41" i="14"/>
  <c r="K23" i="14"/>
  <c r="L23" i="14"/>
  <c r="K48" i="14"/>
  <c r="G48" i="14"/>
  <c r="H11" i="14"/>
  <c r="K9" i="14"/>
  <c r="S22" i="14"/>
  <c r="H66" i="14"/>
  <c r="K66" i="14" s="1"/>
  <c r="K59" i="14"/>
  <c r="L59" i="14"/>
  <c r="L27" i="14"/>
  <c r="K33" i="14"/>
  <c r="G38" i="14"/>
  <c r="L38" i="14"/>
  <c r="P60" i="14"/>
  <c r="L61" i="14"/>
  <c r="K62" i="14"/>
  <c r="S70" i="14"/>
  <c r="K73" i="14"/>
  <c r="L73" i="14"/>
  <c r="K75" i="14"/>
  <c r="L75" i="14"/>
  <c r="T85" i="14"/>
  <c r="P89" i="14"/>
  <c r="K64" i="14"/>
  <c r="K69" i="14"/>
  <c r="H82" i="14"/>
  <c r="L69" i="14"/>
  <c r="K77" i="14"/>
  <c r="L77" i="14"/>
  <c r="D55" i="14"/>
  <c r="D91" i="14" s="1"/>
  <c r="L63" i="14"/>
  <c r="K63" i="14"/>
  <c r="K71" i="14"/>
  <c r="L71" i="14"/>
  <c r="K79" i="14"/>
  <c r="L79" i="14"/>
  <c r="D101" i="14"/>
  <c r="D103" i="14" s="1"/>
  <c r="G82" i="14"/>
  <c r="K65" i="14"/>
  <c r="K81" i="14"/>
  <c r="L89" i="14"/>
  <c r="P48" i="13"/>
  <c r="K9" i="13"/>
  <c r="K71" i="13"/>
  <c r="L71" i="13"/>
  <c r="T45" i="13"/>
  <c r="S45" i="13" s="1"/>
  <c r="H76" i="13"/>
  <c r="H16" i="13" s="1"/>
  <c r="K69" i="13"/>
  <c r="K73" i="13"/>
  <c r="L73" i="13"/>
  <c r="S49" i="13"/>
  <c r="X49" i="13"/>
  <c r="W49" i="13" s="1"/>
  <c r="K72" i="13"/>
  <c r="K85" i="13"/>
  <c r="D65" i="13"/>
  <c r="L75" i="13"/>
  <c r="K75" i="13"/>
  <c r="K87" i="13"/>
  <c r="T97" i="13"/>
  <c r="P101" i="13"/>
  <c r="I47" i="27" s="1"/>
  <c r="K70" i="13"/>
  <c r="K74" i="13"/>
  <c r="K81" i="13"/>
  <c r="K89" i="13"/>
  <c r="K79" i="13"/>
  <c r="K83" i="13"/>
  <c r="L101" i="13"/>
  <c r="H47" i="27" s="1"/>
  <c r="L72" i="12"/>
  <c r="P72" i="12" s="1"/>
  <c r="K23" i="12"/>
  <c r="L25" i="12"/>
  <c r="L70" i="12"/>
  <c r="P70" i="12" s="1"/>
  <c r="L61" i="12"/>
  <c r="P61" i="12" s="1"/>
  <c r="L76" i="12"/>
  <c r="O76" i="12" s="1"/>
  <c r="K64" i="12"/>
  <c r="L64" i="12"/>
  <c r="P64" i="12" s="1"/>
  <c r="S64" i="12" s="1"/>
  <c r="H81" i="12"/>
  <c r="L81" i="12" s="1"/>
  <c r="O81" i="12" s="1"/>
  <c r="L74" i="12"/>
  <c r="O74" i="12" s="1"/>
  <c r="L78" i="12"/>
  <c r="P78" i="12" s="1"/>
  <c r="T78" i="12" s="1"/>
  <c r="L80" i="12"/>
  <c r="P80" i="12" s="1"/>
  <c r="S80" i="12" s="1"/>
  <c r="G44" i="12"/>
  <c r="P38" i="12"/>
  <c r="O38" i="12" s="1"/>
  <c r="K38" i="12"/>
  <c r="G38" i="12"/>
  <c r="K36" i="12"/>
  <c r="G36" i="12"/>
  <c r="K34" i="12"/>
  <c r="G34" i="12"/>
  <c r="G33" i="12"/>
  <c r="O27" i="12"/>
  <c r="P27" i="12"/>
  <c r="S27" i="12" s="1"/>
  <c r="O23" i="12"/>
  <c r="P23" i="12"/>
  <c r="L26" i="12"/>
  <c r="P26" i="12" s="1"/>
  <c r="T26" i="12" s="1"/>
  <c r="W26" i="12" s="1"/>
  <c r="L28" i="12"/>
  <c r="P28" i="12" s="1"/>
  <c r="T28" i="12" s="1"/>
  <c r="W28" i="12" s="1"/>
  <c r="K21" i="12"/>
  <c r="K27" i="12"/>
  <c r="X26" i="12"/>
  <c r="H11" i="12"/>
  <c r="O21" i="12"/>
  <c r="P21" i="12"/>
  <c r="L22" i="12"/>
  <c r="G45" i="12"/>
  <c r="L33" i="12"/>
  <c r="K33" i="12" s="1"/>
  <c r="P34" i="12"/>
  <c r="O34" i="12" s="1"/>
  <c r="P36" i="12"/>
  <c r="O36" i="12" s="1"/>
  <c r="D55" i="12"/>
  <c r="D11" i="12"/>
  <c r="D13" i="12" s="1"/>
  <c r="L37" i="12"/>
  <c r="K37" i="12" s="1"/>
  <c r="H30" i="12"/>
  <c r="L48" i="12"/>
  <c r="K48" i="12" s="1"/>
  <c r="L24" i="12"/>
  <c r="T27" i="12"/>
  <c r="O28" i="12"/>
  <c r="L35" i="12"/>
  <c r="K35" i="12" s="1"/>
  <c r="K39" i="12"/>
  <c r="L71" i="12"/>
  <c r="K71" i="12"/>
  <c r="L63" i="12"/>
  <c r="K63" i="12"/>
  <c r="L65" i="12"/>
  <c r="K65" i="12"/>
  <c r="L69" i="12"/>
  <c r="K69" i="12"/>
  <c r="L77" i="12"/>
  <c r="K77" i="12"/>
  <c r="L79" i="12"/>
  <c r="K79" i="12"/>
  <c r="H66" i="12"/>
  <c r="K66" i="12" s="1"/>
  <c r="L59" i="12"/>
  <c r="L75" i="12"/>
  <c r="K75" i="12"/>
  <c r="L60" i="12"/>
  <c r="K61" i="12"/>
  <c r="L73" i="12"/>
  <c r="K73" i="12"/>
  <c r="L62" i="12"/>
  <c r="D82" i="12"/>
  <c r="D102" i="12" s="1"/>
  <c r="K70" i="12"/>
  <c r="K72" i="12"/>
  <c r="K74" i="12"/>
  <c r="K76" i="12"/>
  <c r="L33" i="11"/>
  <c r="K33" i="11" s="1"/>
  <c r="K37" i="11"/>
  <c r="K39" i="11"/>
  <c r="L60" i="11"/>
  <c r="O60" i="11" s="1"/>
  <c r="K71" i="11"/>
  <c r="O61" i="11"/>
  <c r="O37" i="11"/>
  <c r="P37" i="11"/>
  <c r="S37" i="11" s="1"/>
  <c r="D95" i="11"/>
  <c r="K21" i="11"/>
  <c r="G21" i="11"/>
  <c r="D96" i="11"/>
  <c r="D15" i="11"/>
  <c r="T21" i="11"/>
  <c r="O59" i="11"/>
  <c r="T26" i="11"/>
  <c r="K36" i="11"/>
  <c r="L36" i="11"/>
  <c r="L48" i="11"/>
  <c r="K48" i="11" s="1"/>
  <c r="G22" i="11"/>
  <c r="L22" i="11"/>
  <c r="P23" i="11"/>
  <c r="P24" i="11"/>
  <c r="O24" i="11"/>
  <c r="H30" i="11"/>
  <c r="K22" i="11"/>
  <c r="K27" i="11"/>
  <c r="L27" i="11"/>
  <c r="G9" i="11"/>
  <c r="L9" i="11"/>
  <c r="H11" i="11"/>
  <c r="O21" i="11"/>
  <c r="L35" i="11"/>
  <c r="K35" i="11"/>
  <c r="H41" i="11"/>
  <c r="G41" i="11" s="1"/>
  <c r="O34" i="11"/>
  <c r="K38" i="11"/>
  <c r="L38" i="11"/>
  <c r="L72" i="11"/>
  <c r="K72" i="11" s="1"/>
  <c r="G72" i="11"/>
  <c r="P77" i="11"/>
  <c r="L80" i="11"/>
  <c r="K80" i="11"/>
  <c r="L25" i="11"/>
  <c r="T28" i="11"/>
  <c r="K34" i="11"/>
  <c r="P39" i="11"/>
  <c r="K59" i="11"/>
  <c r="H66" i="11"/>
  <c r="G59" i="11"/>
  <c r="L65" i="11"/>
  <c r="K65" i="11"/>
  <c r="G66" i="11"/>
  <c r="H82" i="11"/>
  <c r="G82" i="11" s="1"/>
  <c r="P75" i="11"/>
  <c r="L78" i="11"/>
  <c r="K78" i="11"/>
  <c r="L81" i="11"/>
  <c r="K81" i="11"/>
  <c r="K61" i="11"/>
  <c r="K62" i="11"/>
  <c r="K63" i="11"/>
  <c r="L70" i="11"/>
  <c r="G70" i="11"/>
  <c r="L74" i="11"/>
  <c r="K74" i="11"/>
  <c r="P79" i="11"/>
  <c r="D55" i="11"/>
  <c r="D85" i="11" s="1"/>
  <c r="O64" i="11"/>
  <c r="P73" i="11"/>
  <c r="L76" i="11"/>
  <c r="K76" i="11"/>
  <c r="G69" i="11"/>
  <c r="G71" i="11"/>
  <c r="O25" i="10"/>
  <c r="P25" i="10"/>
  <c r="K25" i="10"/>
  <c r="O27" i="10"/>
  <c r="L28" i="10"/>
  <c r="P28" i="10" s="1"/>
  <c r="G72" i="10"/>
  <c r="K71" i="10"/>
  <c r="G71" i="10"/>
  <c r="G70" i="10"/>
  <c r="G69" i="10"/>
  <c r="K77" i="10"/>
  <c r="K79" i="10"/>
  <c r="K75" i="10"/>
  <c r="H66" i="10"/>
  <c r="G66" i="10" s="1"/>
  <c r="K60" i="10"/>
  <c r="T22" i="10"/>
  <c r="X22" i="10" s="1"/>
  <c r="K22" i="10"/>
  <c r="D55" i="10"/>
  <c r="O21" i="10"/>
  <c r="D11" i="10"/>
  <c r="G9" i="10"/>
  <c r="K9" i="10"/>
  <c r="H11" i="10"/>
  <c r="X11" i="10"/>
  <c r="AA9" i="10"/>
  <c r="S23" i="10"/>
  <c r="T23" i="10"/>
  <c r="L11" i="10"/>
  <c r="S27" i="10"/>
  <c r="T27" i="10"/>
  <c r="T11" i="10"/>
  <c r="W9" i="10"/>
  <c r="T21" i="10"/>
  <c r="S21" i="10" s="1"/>
  <c r="O23" i="10"/>
  <c r="L24" i="10"/>
  <c r="O28" i="10"/>
  <c r="S38" i="10"/>
  <c r="T38" i="10"/>
  <c r="L48" i="10"/>
  <c r="K48" i="10" s="1"/>
  <c r="K33" i="10"/>
  <c r="H41" i="10"/>
  <c r="L33" i="10"/>
  <c r="S36" i="10"/>
  <c r="T36" i="10"/>
  <c r="L26" i="10"/>
  <c r="L30" i="10" s="1"/>
  <c r="H30" i="10"/>
  <c r="G30" i="10" s="1"/>
  <c r="P34" i="10"/>
  <c r="L35" i="10"/>
  <c r="O36" i="10"/>
  <c r="L37" i="10"/>
  <c r="O38" i="10"/>
  <c r="L39" i="10"/>
  <c r="K59" i="10"/>
  <c r="L65" i="10"/>
  <c r="K65" i="10"/>
  <c r="H82" i="10"/>
  <c r="O76" i="10"/>
  <c r="L64" i="10"/>
  <c r="K64" i="10" s="1"/>
  <c r="P78" i="10"/>
  <c r="O78" i="10"/>
  <c r="O79" i="10"/>
  <c r="P79" i="10"/>
  <c r="K61" i="10"/>
  <c r="K63" i="10"/>
  <c r="P80" i="10"/>
  <c r="O80" i="10"/>
  <c r="L81" i="10"/>
  <c r="K81" i="10"/>
  <c r="G41" i="10"/>
  <c r="K62" i="10"/>
  <c r="O75" i="10"/>
  <c r="P75" i="10"/>
  <c r="K69" i="10"/>
  <c r="K72" i="10"/>
  <c r="K74" i="10"/>
  <c r="K76" i="10"/>
  <c r="K78" i="10"/>
  <c r="K80" i="10"/>
  <c r="L63" i="9"/>
  <c r="P63" i="9" s="1"/>
  <c r="K63" i="9"/>
  <c r="L61" i="9"/>
  <c r="O61" i="9" s="1"/>
  <c r="K61" i="9"/>
  <c r="L48" i="9"/>
  <c r="O48" i="9" s="1"/>
  <c r="K65" i="9"/>
  <c r="P39" i="9"/>
  <c r="T39" i="9" s="1"/>
  <c r="O39" i="9"/>
  <c r="P35" i="9"/>
  <c r="O35" i="9"/>
  <c r="L33" i="9"/>
  <c r="P33" i="9" s="1"/>
  <c r="S33" i="9" s="1"/>
  <c r="L37" i="9"/>
  <c r="L38" i="9"/>
  <c r="O38" i="9" s="1"/>
  <c r="P22" i="9"/>
  <c r="T22" i="9" s="1"/>
  <c r="W22" i="9" s="1"/>
  <c r="K22" i="9"/>
  <c r="K24" i="9"/>
  <c r="L25" i="9"/>
  <c r="O25" i="9" s="1"/>
  <c r="T24" i="9"/>
  <c r="S24" i="9"/>
  <c r="D11" i="9"/>
  <c r="T26" i="9"/>
  <c r="S26" i="9"/>
  <c r="O27" i="9"/>
  <c r="P27" i="9"/>
  <c r="G12" i="36"/>
  <c r="O26" i="9"/>
  <c r="P28" i="9"/>
  <c r="H41" i="9"/>
  <c r="K34" i="9"/>
  <c r="O24" i="9"/>
  <c r="K27" i="9"/>
  <c r="K28" i="9"/>
  <c r="L10" i="9"/>
  <c r="H30" i="9"/>
  <c r="P23" i="9"/>
  <c r="K26" i="9"/>
  <c r="L34" i="9"/>
  <c r="O51" i="9"/>
  <c r="P51" i="9"/>
  <c r="K51" i="9"/>
  <c r="L52" i="9"/>
  <c r="D55" i="9"/>
  <c r="G55" i="9" s="1"/>
  <c r="H66" i="9"/>
  <c r="G66" i="9" s="1"/>
  <c r="L59" i="9"/>
  <c r="K62" i="9"/>
  <c r="L71" i="9"/>
  <c r="K71" i="9"/>
  <c r="L75" i="9"/>
  <c r="K75" i="9"/>
  <c r="L79" i="9"/>
  <c r="K79" i="9"/>
  <c r="P60" i="9"/>
  <c r="L70" i="9"/>
  <c r="K70" i="9"/>
  <c r="L74" i="9"/>
  <c r="K74" i="9"/>
  <c r="K78" i="9"/>
  <c r="L81" i="9"/>
  <c r="K81" i="9"/>
  <c r="H82" i="9"/>
  <c r="L69" i="9"/>
  <c r="K69" i="9"/>
  <c r="L73" i="9"/>
  <c r="K73" i="9"/>
  <c r="L77" i="9"/>
  <c r="K77" i="9"/>
  <c r="K60" i="9"/>
  <c r="L72" i="9"/>
  <c r="K72" i="9"/>
  <c r="L76" i="9"/>
  <c r="K76" i="9"/>
  <c r="L80" i="9"/>
  <c r="K80" i="9"/>
  <c r="L64" i="9"/>
  <c r="D82" i="9"/>
  <c r="G81" i="9"/>
  <c r="Q23" i="7"/>
  <c r="G1" i="6"/>
  <c r="H47" i="28" l="1"/>
  <c r="P47" i="28" s="1"/>
  <c r="G47" i="28"/>
  <c r="O47" i="28" s="1"/>
  <c r="O24" i="33"/>
  <c r="P34" i="33"/>
  <c r="P37" i="33"/>
  <c r="P40" i="33"/>
  <c r="P39" i="33"/>
  <c r="O70" i="14"/>
  <c r="S80" i="14"/>
  <c r="S62" i="14"/>
  <c r="O80" i="14"/>
  <c r="P86" i="13"/>
  <c r="T86" i="13" s="1"/>
  <c r="S39" i="9"/>
  <c r="P36" i="9"/>
  <c r="T33" i="9"/>
  <c r="X33" i="9" s="1"/>
  <c r="P25" i="9"/>
  <c r="O10" i="9"/>
  <c r="G13" i="36"/>
  <c r="O26" i="12"/>
  <c r="K9" i="12"/>
  <c r="H103" i="12"/>
  <c r="G44" i="14"/>
  <c r="O43" i="13"/>
  <c r="K58" i="13"/>
  <c r="G51" i="13"/>
  <c r="P46" i="13"/>
  <c r="T46" i="13" s="1"/>
  <c r="X46" i="13" s="1"/>
  <c r="W46" i="13" s="1"/>
  <c r="K46" i="13"/>
  <c r="T25" i="13"/>
  <c r="X25" i="13" s="1"/>
  <c r="G16" i="36"/>
  <c r="P9" i="10"/>
  <c r="L30" i="9"/>
  <c r="P21" i="9"/>
  <c r="I26" i="26"/>
  <c r="G11" i="14"/>
  <c r="H4" i="27"/>
  <c r="O65" i="9"/>
  <c r="P81" i="14"/>
  <c r="S81" i="14" s="1"/>
  <c r="P77" i="10"/>
  <c r="P62" i="11"/>
  <c r="S62" i="11" s="1"/>
  <c r="P63" i="11"/>
  <c r="T63" i="11" s="1"/>
  <c r="X63" i="11" s="1"/>
  <c r="O76" i="14"/>
  <c r="S76" i="14"/>
  <c r="T78" i="14"/>
  <c r="X78" i="14" s="1"/>
  <c r="O74" i="13"/>
  <c r="O78" i="14"/>
  <c r="P74" i="10"/>
  <c r="O73" i="10"/>
  <c r="S74" i="14"/>
  <c r="O65" i="14"/>
  <c r="O72" i="14"/>
  <c r="O72" i="12"/>
  <c r="T72" i="14"/>
  <c r="X72" i="14" s="1"/>
  <c r="O64" i="14"/>
  <c r="O74" i="14"/>
  <c r="S78" i="12"/>
  <c r="O62" i="14"/>
  <c r="G7" i="36"/>
  <c r="P9" i="12"/>
  <c r="O9" i="12" s="1"/>
  <c r="J47" i="27"/>
  <c r="I47" i="28"/>
  <c r="Q47" i="28" s="1"/>
  <c r="S22" i="9"/>
  <c r="X22" i="9"/>
  <c r="O32" i="30"/>
  <c r="P51" i="30"/>
  <c r="P49" i="30"/>
  <c r="P46" i="30"/>
  <c r="P52" i="30"/>
  <c r="S32" i="30"/>
  <c r="L30" i="11"/>
  <c r="P51" i="32"/>
  <c r="P52" i="32"/>
  <c r="P46" i="32"/>
  <c r="P49" i="32"/>
  <c r="S32" i="32"/>
  <c r="T89" i="12"/>
  <c r="X85" i="12"/>
  <c r="S24" i="33"/>
  <c r="L66" i="11"/>
  <c r="O61" i="12"/>
  <c r="P60" i="11"/>
  <c r="T60" i="11" s="1"/>
  <c r="X60" i="11" s="1"/>
  <c r="AB60" i="11" s="1"/>
  <c r="AA60" i="11" s="1"/>
  <c r="O63" i="9"/>
  <c r="O101" i="13"/>
  <c r="K101" i="13"/>
  <c r="P76" i="12"/>
  <c r="S76" i="12" s="1"/>
  <c r="P74" i="12"/>
  <c r="T74" i="12" s="1"/>
  <c r="K80" i="13"/>
  <c r="K84" i="13"/>
  <c r="L51" i="13"/>
  <c r="O91" i="13"/>
  <c r="S46" i="13"/>
  <c r="O92" i="13"/>
  <c r="O88" i="13"/>
  <c r="K90" i="13"/>
  <c r="S90" i="13"/>
  <c r="O90" i="13"/>
  <c r="K88" i="13"/>
  <c r="S88" i="13"/>
  <c r="K86" i="13"/>
  <c r="K82" i="13"/>
  <c r="O82" i="13"/>
  <c r="O80" i="13"/>
  <c r="S80" i="13"/>
  <c r="G76" i="13"/>
  <c r="P70" i="13"/>
  <c r="S70" i="13" s="1"/>
  <c r="O72" i="13"/>
  <c r="O86" i="13"/>
  <c r="S84" i="13"/>
  <c r="O84" i="13"/>
  <c r="H94" i="13"/>
  <c r="T82" i="13"/>
  <c r="S82" i="13" s="1"/>
  <c r="T74" i="13"/>
  <c r="W74" i="13" s="1"/>
  <c r="K38" i="14"/>
  <c r="P38" i="14"/>
  <c r="O33" i="14"/>
  <c r="P33" i="14"/>
  <c r="S33" i="14" s="1"/>
  <c r="H50" i="14"/>
  <c r="G50" i="14" s="1"/>
  <c r="H46" i="14"/>
  <c r="G49" i="14"/>
  <c r="O26" i="14"/>
  <c r="P26" i="14"/>
  <c r="G30" i="14"/>
  <c r="T28" i="14"/>
  <c r="X28" i="14" s="1"/>
  <c r="AB36" i="14"/>
  <c r="O34" i="14"/>
  <c r="O37" i="14"/>
  <c r="T37" i="14"/>
  <c r="S37" i="14" s="1"/>
  <c r="D104" i="14"/>
  <c r="D93" i="14"/>
  <c r="P79" i="14"/>
  <c r="O79" i="14"/>
  <c r="X74" i="14"/>
  <c r="W74" i="14"/>
  <c r="T81" i="14"/>
  <c r="P75" i="14"/>
  <c r="O75" i="14"/>
  <c r="T65" i="14"/>
  <c r="S65" i="14"/>
  <c r="X70" i="14"/>
  <c r="W70" i="14"/>
  <c r="S60" i="14"/>
  <c r="T60" i="14"/>
  <c r="X22" i="14"/>
  <c r="W22" i="14"/>
  <c r="P23" i="14"/>
  <c r="O23" i="14"/>
  <c r="X76" i="14"/>
  <c r="W76" i="14"/>
  <c r="O38" i="14"/>
  <c r="T35" i="14"/>
  <c r="S35" i="14"/>
  <c r="L30" i="14"/>
  <c r="L44" i="14" s="1"/>
  <c r="O21" i="14"/>
  <c r="O63" i="14"/>
  <c r="P63" i="14"/>
  <c r="P77" i="14"/>
  <c r="O77" i="14"/>
  <c r="L82" i="14"/>
  <c r="P69" i="14"/>
  <c r="O69" i="14"/>
  <c r="X80" i="14"/>
  <c r="W80" i="14"/>
  <c r="P73" i="14"/>
  <c r="O73" i="14"/>
  <c r="P27" i="14"/>
  <c r="O27" i="14"/>
  <c r="W62" i="14"/>
  <c r="X62" i="14"/>
  <c r="O35" i="14"/>
  <c r="G46" i="14"/>
  <c r="L41" i="14"/>
  <c r="P11" i="14"/>
  <c r="P13" i="14" s="1"/>
  <c r="T9" i="14"/>
  <c r="P71" i="14"/>
  <c r="O71" i="14"/>
  <c r="K82" i="14"/>
  <c r="T89" i="14"/>
  <c r="X85" i="14"/>
  <c r="T64" i="14"/>
  <c r="S64" i="14"/>
  <c r="O61" i="14"/>
  <c r="P61" i="14"/>
  <c r="L66" i="14"/>
  <c r="O66" i="14" s="1"/>
  <c r="P59" i="14"/>
  <c r="O59" i="14"/>
  <c r="K11" i="14"/>
  <c r="P48" i="14"/>
  <c r="O48" i="14"/>
  <c r="X24" i="14"/>
  <c r="W24" i="14"/>
  <c r="P25" i="14"/>
  <c r="O25" i="14"/>
  <c r="L15" i="14"/>
  <c r="O83" i="13"/>
  <c r="L94" i="13"/>
  <c r="O79" i="13"/>
  <c r="O89" i="13"/>
  <c r="O87" i="13"/>
  <c r="T26" i="13"/>
  <c r="S26" i="13" s="1"/>
  <c r="L76" i="13"/>
  <c r="O69" i="13"/>
  <c r="T28" i="13"/>
  <c r="S28" i="13" s="1"/>
  <c r="O75" i="13"/>
  <c r="P75" i="13"/>
  <c r="O85" i="13"/>
  <c r="S29" i="13"/>
  <c r="T27" i="13"/>
  <c r="S27" i="13" s="1"/>
  <c r="S72" i="13"/>
  <c r="T72" i="13"/>
  <c r="AB46" i="13"/>
  <c r="AA46" i="13" s="1"/>
  <c r="X88" i="13"/>
  <c r="W88" i="13" s="1"/>
  <c r="X80" i="13"/>
  <c r="W80" i="13" s="1"/>
  <c r="X84" i="13"/>
  <c r="W84" i="13" s="1"/>
  <c r="P73" i="13"/>
  <c r="O73" i="13"/>
  <c r="X43" i="13"/>
  <c r="W43" i="13" s="1"/>
  <c r="T101" i="13"/>
  <c r="X97" i="13"/>
  <c r="X90" i="13"/>
  <c r="W90" i="13" s="1"/>
  <c r="AB49" i="13"/>
  <c r="AA49" i="13" s="1"/>
  <c r="P58" i="13"/>
  <c r="O58" i="13" s="1"/>
  <c r="S44" i="13"/>
  <c r="X45" i="13"/>
  <c r="W45" i="13" s="1"/>
  <c r="P71" i="13"/>
  <c r="O71" i="13"/>
  <c r="T48" i="13"/>
  <c r="S48" i="13" s="1"/>
  <c r="S43" i="13"/>
  <c r="D92" i="12"/>
  <c r="D94" i="12" s="1"/>
  <c r="O70" i="12"/>
  <c r="T61" i="12"/>
  <c r="X61" i="12" s="1"/>
  <c r="S61" i="12"/>
  <c r="P25" i="12"/>
  <c r="O25" i="12"/>
  <c r="G41" i="12"/>
  <c r="X28" i="12"/>
  <c r="AA28" i="12" s="1"/>
  <c r="T64" i="12"/>
  <c r="X64" i="12" s="1"/>
  <c r="T80" i="12"/>
  <c r="W80" i="12" s="1"/>
  <c r="P81" i="12"/>
  <c r="S81" i="12" s="1"/>
  <c r="K81" i="12"/>
  <c r="O80" i="12"/>
  <c r="H82" i="12"/>
  <c r="K82" i="12" s="1"/>
  <c r="O78" i="12"/>
  <c r="O64" i="12"/>
  <c r="T38" i="12"/>
  <c r="S38" i="12" s="1"/>
  <c r="S28" i="12"/>
  <c r="S26" i="12"/>
  <c r="S23" i="12"/>
  <c r="T23" i="12"/>
  <c r="P62" i="12"/>
  <c r="O62" i="12"/>
  <c r="O69" i="12"/>
  <c r="L82" i="12"/>
  <c r="P69" i="12"/>
  <c r="L66" i="12"/>
  <c r="O66" i="12" s="1"/>
  <c r="P59" i="12"/>
  <c r="O59" i="12"/>
  <c r="P63" i="12"/>
  <c r="O63" i="12"/>
  <c r="P48" i="12"/>
  <c r="O48" i="12" s="1"/>
  <c r="G11" i="12"/>
  <c r="T34" i="12"/>
  <c r="S34" i="12" s="1"/>
  <c r="O73" i="12"/>
  <c r="P73" i="12"/>
  <c r="P60" i="12"/>
  <c r="O60" i="12"/>
  <c r="W78" i="12"/>
  <c r="X78" i="12"/>
  <c r="S74" i="12"/>
  <c r="O79" i="12"/>
  <c r="P79" i="12"/>
  <c r="T76" i="12"/>
  <c r="T70" i="12"/>
  <c r="S70" i="12"/>
  <c r="O39" i="12"/>
  <c r="X38" i="12"/>
  <c r="W38" i="12" s="1"/>
  <c r="L41" i="12"/>
  <c r="L45" i="12" s="1"/>
  <c r="P33" i="12"/>
  <c r="O33" i="12" s="1"/>
  <c r="P22" i="12"/>
  <c r="O22" i="12"/>
  <c r="G82" i="12"/>
  <c r="P65" i="12"/>
  <c r="O65" i="12"/>
  <c r="X27" i="12"/>
  <c r="W27" i="12"/>
  <c r="P37" i="12"/>
  <c r="O37" i="12" s="1"/>
  <c r="G49" i="12"/>
  <c r="G46" i="12"/>
  <c r="G50" i="12"/>
  <c r="G47" i="12"/>
  <c r="S21" i="12"/>
  <c r="T21" i="12"/>
  <c r="L30" i="12"/>
  <c r="K11" i="12"/>
  <c r="AA26" i="12"/>
  <c r="AB26" i="12"/>
  <c r="T72" i="12"/>
  <c r="S72" i="12"/>
  <c r="O75" i="12"/>
  <c r="P75" i="12"/>
  <c r="O77" i="12"/>
  <c r="P77" i="12"/>
  <c r="O71" i="12"/>
  <c r="P71" i="12"/>
  <c r="P35" i="12"/>
  <c r="O35" i="12" s="1"/>
  <c r="P24" i="12"/>
  <c r="O24" i="12"/>
  <c r="K30" i="12"/>
  <c r="L15" i="12"/>
  <c r="T36" i="12"/>
  <c r="S36" i="12" s="1"/>
  <c r="T37" i="11"/>
  <c r="W37" i="11" s="1"/>
  <c r="P33" i="11"/>
  <c r="O33" i="11" s="1"/>
  <c r="T62" i="11"/>
  <c r="X62" i="11" s="1"/>
  <c r="W62" i="11" s="1"/>
  <c r="D97" i="11"/>
  <c r="D98" i="11" s="1"/>
  <c r="T73" i="11"/>
  <c r="S73" i="11"/>
  <c r="T34" i="11"/>
  <c r="S34" i="11" s="1"/>
  <c r="O35" i="11"/>
  <c r="P35" i="11"/>
  <c r="L11" i="11"/>
  <c r="L13" i="11" s="1"/>
  <c r="P9" i="11"/>
  <c r="K9" i="11"/>
  <c r="P76" i="11"/>
  <c r="O76" i="11"/>
  <c r="T79" i="11"/>
  <c r="S79" i="11"/>
  <c r="P81" i="11"/>
  <c r="O81" i="11"/>
  <c r="P25" i="11"/>
  <c r="O25" i="11"/>
  <c r="X37" i="11"/>
  <c r="G11" i="11"/>
  <c r="S24" i="11"/>
  <c r="T24" i="11"/>
  <c r="X21" i="11"/>
  <c r="W21" i="11"/>
  <c r="S39" i="11"/>
  <c r="T39" i="11"/>
  <c r="K69" i="11"/>
  <c r="O69" i="11"/>
  <c r="L82" i="11"/>
  <c r="T64" i="11"/>
  <c r="S64" i="11"/>
  <c r="P70" i="11"/>
  <c r="O70" i="11"/>
  <c r="K66" i="11"/>
  <c r="P36" i="11"/>
  <c r="O36" i="11"/>
  <c r="T71" i="11"/>
  <c r="S71" i="11"/>
  <c r="X61" i="11"/>
  <c r="W61" i="11" s="1"/>
  <c r="P74" i="11"/>
  <c r="O74" i="11"/>
  <c r="P78" i="11"/>
  <c r="O78" i="11"/>
  <c r="P80" i="11"/>
  <c r="O80" i="11"/>
  <c r="P72" i="11"/>
  <c r="O72" i="11" s="1"/>
  <c r="D87" i="11"/>
  <c r="L41" i="11"/>
  <c r="K41" i="11" s="1"/>
  <c r="H44" i="11"/>
  <c r="G30" i="11"/>
  <c r="T23" i="11"/>
  <c r="S23" i="11"/>
  <c r="T59" i="11"/>
  <c r="S59" i="11" s="1"/>
  <c r="O71" i="11"/>
  <c r="S61" i="11"/>
  <c r="K70" i="11"/>
  <c r="T75" i="11"/>
  <c r="S75" i="11"/>
  <c r="P65" i="11"/>
  <c r="O65" i="11"/>
  <c r="X28" i="11"/>
  <c r="W28" i="11"/>
  <c r="T77" i="11"/>
  <c r="S77" i="11"/>
  <c r="P38" i="11"/>
  <c r="O38" i="11"/>
  <c r="G45" i="11"/>
  <c r="G46" i="11"/>
  <c r="P27" i="11"/>
  <c r="O27" i="11"/>
  <c r="P22" i="11"/>
  <c r="O22" i="11" s="1"/>
  <c r="P48" i="11"/>
  <c r="O48" i="11" s="1"/>
  <c r="X26" i="11"/>
  <c r="W26" i="11"/>
  <c r="S21" i="11"/>
  <c r="S25" i="10"/>
  <c r="T25" i="10"/>
  <c r="S28" i="10"/>
  <c r="T28" i="10"/>
  <c r="W22" i="10"/>
  <c r="S22" i="10"/>
  <c r="O22" i="10"/>
  <c r="L44" i="10"/>
  <c r="T75" i="10"/>
  <c r="S75" i="10"/>
  <c r="T73" i="10"/>
  <c r="S73" i="10"/>
  <c r="T79" i="10"/>
  <c r="S79" i="10"/>
  <c r="P64" i="10"/>
  <c r="O64" i="10"/>
  <c r="L82" i="10"/>
  <c r="K82" i="10" s="1"/>
  <c r="O69" i="10"/>
  <c r="P65" i="10"/>
  <c r="O65" i="10"/>
  <c r="P48" i="10"/>
  <c r="O48" i="10" s="1"/>
  <c r="P24" i="10"/>
  <c r="O24" i="10"/>
  <c r="G82" i="10"/>
  <c r="D95" i="10"/>
  <c r="T74" i="10"/>
  <c r="S74" i="10"/>
  <c r="T80" i="10"/>
  <c r="S80" i="10"/>
  <c r="T72" i="10"/>
  <c r="S72" i="10" s="1"/>
  <c r="T78" i="10"/>
  <c r="S78" i="10"/>
  <c r="T70" i="10"/>
  <c r="S70" i="10" s="1"/>
  <c r="T76" i="10"/>
  <c r="S76" i="10"/>
  <c r="L66" i="10"/>
  <c r="O59" i="10"/>
  <c r="S34" i="10"/>
  <c r="T34" i="10"/>
  <c r="X36" i="10"/>
  <c r="W36" i="10"/>
  <c r="X38" i="10"/>
  <c r="W38" i="10"/>
  <c r="T13" i="10"/>
  <c r="T15" i="10" s="1"/>
  <c r="W15" i="10" s="1"/>
  <c r="W11" i="10"/>
  <c r="X23" i="10"/>
  <c r="W23" i="10"/>
  <c r="H13" i="10"/>
  <c r="K11" i="10"/>
  <c r="T71" i="10"/>
  <c r="S71" i="10" s="1"/>
  <c r="T77" i="10"/>
  <c r="S77" i="10"/>
  <c r="P37" i="10"/>
  <c r="O37" i="10"/>
  <c r="G44" i="10"/>
  <c r="K30" i="10"/>
  <c r="P26" i="10"/>
  <c r="O26" i="10"/>
  <c r="P33" i="10"/>
  <c r="L41" i="10"/>
  <c r="O33" i="10"/>
  <c r="X21" i="10"/>
  <c r="W21" i="10" s="1"/>
  <c r="AB22" i="10"/>
  <c r="AA22" i="10" s="1"/>
  <c r="P81" i="10"/>
  <c r="O81" i="10"/>
  <c r="P39" i="10"/>
  <c r="O39" i="10"/>
  <c r="P35" i="10"/>
  <c r="O35" i="10"/>
  <c r="G49" i="10"/>
  <c r="K46" i="10"/>
  <c r="G50" i="10"/>
  <c r="G47" i="10"/>
  <c r="K41" i="10"/>
  <c r="K45" i="10"/>
  <c r="X27" i="10"/>
  <c r="W27" i="10"/>
  <c r="L13" i="10"/>
  <c r="L15" i="10" s="1"/>
  <c r="X13" i="10"/>
  <c r="X15" i="10" s="1"/>
  <c r="AA15" i="10" s="1"/>
  <c r="AA11" i="10"/>
  <c r="D13" i="10"/>
  <c r="D15" i="10" s="1"/>
  <c r="G11" i="10"/>
  <c r="P61" i="9"/>
  <c r="T61" i="9" s="1"/>
  <c r="D85" i="9"/>
  <c r="D87" i="9" s="1"/>
  <c r="D89" i="9" s="1"/>
  <c r="D95" i="9"/>
  <c r="D97" i="9" s="1"/>
  <c r="P48" i="9"/>
  <c r="S48" i="9" s="1"/>
  <c r="S35" i="9"/>
  <c r="T35" i="9"/>
  <c r="P38" i="9"/>
  <c r="T38" i="9" s="1"/>
  <c r="L41" i="9"/>
  <c r="L50" i="9" s="1"/>
  <c r="O50" i="9" s="1"/>
  <c r="P37" i="9"/>
  <c r="O37" i="9"/>
  <c r="O33" i="9"/>
  <c r="P80" i="9"/>
  <c r="O80" i="9"/>
  <c r="P70" i="9"/>
  <c r="O70" i="9"/>
  <c r="O71" i="9"/>
  <c r="P71" i="9"/>
  <c r="S38" i="9"/>
  <c r="H44" i="9"/>
  <c r="K30" i="9"/>
  <c r="T1" i="9"/>
  <c r="W26" i="9"/>
  <c r="X26" i="9"/>
  <c r="G82" i="9"/>
  <c r="O69" i="9"/>
  <c r="L82" i="9"/>
  <c r="P69" i="9"/>
  <c r="O62" i="9"/>
  <c r="P64" i="9"/>
  <c r="O64" i="9"/>
  <c r="P76" i="9"/>
  <c r="O76" i="9"/>
  <c r="S65" i="9"/>
  <c r="T65" i="9"/>
  <c r="P81" i="9"/>
  <c r="O81" i="9"/>
  <c r="P74" i="9"/>
  <c r="O74" i="9"/>
  <c r="O75" i="9"/>
  <c r="P75" i="9"/>
  <c r="O52" i="9"/>
  <c r="P52" i="9"/>
  <c r="T36" i="9"/>
  <c r="S36" i="9"/>
  <c r="W39" i="9"/>
  <c r="X39" i="9"/>
  <c r="H50" i="9"/>
  <c r="K50" i="9" s="1"/>
  <c r="H46" i="9"/>
  <c r="K46" i="9" s="1"/>
  <c r="H49" i="9"/>
  <c r="K49" i="9" s="1"/>
  <c r="H47" i="9"/>
  <c r="K47" i="9" s="1"/>
  <c r="H45" i="9"/>
  <c r="K45" i="9" s="1"/>
  <c r="K41" i="9"/>
  <c r="W33" i="9"/>
  <c r="O73" i="9"/>
  <c r="P73" i="9"/>
  <c r="L66" i="9"/>
  <c r="O59" i="9"/>
  <c r="P59" i="9"/>
  <c r="S51" i="9"/>
  <c r="T51" i="9"/>
  <c r="L44" i="9"/>
  <c r="O30" i="9"/>
  <c r="T23" i="9"/>
  <c r="S23" i="9"/>
  <c r="T28" i="9"/>
  <c r="S28" i="9"/>
  <c r="P30" i="9"/>
  <c r="P72" i="9"/>
  <c r="O72" i="9"/>
  <c r="O78" i="9"/>
  <c r="L49" i="9"/>
  <c r="O49" i="9" s="1"/>
  <c r="S61" i="9"/>
  <c r="O34" i="9"/>
  <c r="P34" i="9"/>
  <c r="T25" i="9"/>
  <c r="S25" i="9"/>
  <c r="L11" i="9"/>
  <c r="L13" i="9" s="1"/>
  <c r="T27" i="9"/>
  <c r="S27" i="9"/>
  <c r="AB22" i="9"/>
  <c r="AA22" i="9"/>
  <c r="S63" i="9"/>
  <c r="T63" i="9"/>
  <c r="O79" i="9"/>
  <c r="P79" i="9"/>
  <c r="W24" i="9"/>
  <c r="X24" i="9"/>
  <c r="O77" i="9"/>
  <c r="P77" i="9"/>
  <c r="T60" i="9"/>
  <c r="S60" i="9"/>
  <c r="L65" i="3"/>
  <c r="P65" i="3" s="1"/>
  <c r="Q50" i="5"/>
  <c r="Q47" i="5"/>
  <c r="O47" i="5"/>
  <c r="O46" i="5"/>
  <c r="C50" i="5"/>
  <c r="C49" i="5"/>
  <c r="C48" i="5"/>
  <c r="G50" i="5"/>
  <c r="G47" i="5"/>
  <c r="J26" i="26" l="1"/>
  <c r="K26" i="26" s="1"/>
  <c r="X86" i="13"/>
  <c r="W86" i="13" s="1"/>
  <c r="S86" i="13"/>
  <c r="S39" i="33"/>
  <c r="O39" i="33"/>
  <c r="O9" i="9"/>
  <c r="H12" i="36"/>
  <c r="G9" i="9"/>
  <c r="F12" i="36"/>
  <c r="K30" i="11"/>
  <c r="L56" i="13"/>
  <c r="L55" i="13"/>
  <c r="K55" i="13" s="1"/>
  <c r="H15" i="12"/>
  <c r="O81" i="13"/>
  <c r="W78" i="14"/>
  <c r="O46" i="13"/>
  <c r="K51" i="13"/>
  <c r="T24" i="13"/>
  <c r="S24" i="13" s="1"/>
  <c r="L40" i="13"/>
  <c r="L54" i="13" s="1"/>
  <c r="S25" i="13"/>
  <c r="W25" i="13"/>
  <c r="T33" i="11"/>
  <c r="S33" i="11" s="1"/>
  <c r="H16" i="36"/>
  <c r="S9" i="10"/>
  <c r="O9" i="10"/>
  <c r="P11" i="10"/>
  <c r="S21" i="9"/>
  <c r="T21" i="9"/>
  <c r="I4" i="27"/>
  <c r="T9" i="13"/>
  <c r="O9" i="13"/>
  <c r="W72" i="14"/>
  <c r="W63" i="11"/>
  <c r="S63" i="11"/>
  <c r="S60" i="11"/>
  <c r="P66" i="11"/>
  <c r="W60" i="11"/>
  <c r="T9" i="12"/>
  <c r="S9" i="12" s="1"/>
  <c r="H7" i="36"/>
  <c r="P11" i="12"/>
  <c r="O9" i="11"/>
  <c r="I8" i="27"/>
  <c r="T9" i="11"/>
  <c r="K44" i="14"/>
  <c r="P44" i="14"/>
  <c r="O44" i="14" s="1"/>
  <c r="T33" i="14"/>
  <c r="X33" i="14" s="1"/>
  <c r="W33" i="14" s="1"/>
  <c r="O40" i="33"/>
  <c r="S40" i="33"/>
  <c r="O49" i="32"/>
  <c r="S49" i="32"/>
  <c r="O46" i="30"/>
  <c r="P55" i="30"/>
  <c r="Q55" i="30" s="1"/>
  <c r="S46" i="30"/>
  <c r="O41" i="9"/>
  <c r="AB28" i="12"/>
  <c r="X89" i="12"/>
  <c r="AB85" i="12"/>
  <c r="AB89" i="12" s="1"/>
  <c r="P55" i="32"/>
  <c r="S46" i="32"/>
  <c r="O49" i="30"/>
  <c r="S49" i="30"/>
  <c r="L45" i="9"/>
  <c r="O45" i="9" s="1"/>
  <c r="L46" i="9"/>
  <c r="O46" i="9" s="1"/>
  <c r="T48" i="9"/>
  <c r="X48" i="9" s="1"/>
  <c r="O11" i="14"/>
  <c r="P15" i="14"/>
  <c r="O37" i="33"/>
  <c r="S37" i="33"/>
  <c r="O52" i="32"/>
  <c r="S52" i="32"/>
  <c r="O51" i="30"/>
  <c r="S51" i="30"/>
  <c r="L47" i="9"/>
  <c r="O47" i="9" s="1"/>
  <c r="O34" i="33"/>
  <c r="P43" i="33"/>
  <c r="S34" i="33"/>
  <c r="O51" i="32"/>
  <c r="S51" i="32"/>
  <c r="O52" i="30"/>
  <c r="S52" i="30"/>
  <c r="K47" i="27"/>
  <c r="J47" i="28"/>
  <c r="W64" i="12"/>
  <c r="W61" i="12"/>
  <c r="G94" i="13"/>
  <c r="X74" i="13"/>
  <c r="AB74" i="13" s="1"/>
  <c r="T91" i="13"/>
  <c r="S91" i="13" s="1"/>
  <c r="T92" i="13"/>
  <c r="S92" i="13" s="1"/>
  <c r="K94" i="13"/>
  <c r="K76" i="13"/>
  <c r="T70" i="13"/>
  <c r="X70" i="13" s="1"/>
  <c r="X82" i="13"/>
  <c r="AB82" i="13" s="1"/>
  <c r="L47" i="14"/>
  <c r="K47" i="14" s="1"/>
  <c r="L50" i="14"/>
  <c r="L46" i="14"/>
  <c r="L49" i="14"/>
  <c r="L45" i="14"/>
  <c r="P41" i="14"/>
  <c r="P45" i="14" s="1"/>
  <c r="T26" i="14"/>
  <c r="S26" i="14"/>
  <c r="K30" i="14"/>
  <c r="W28" i="14"/>
  <c r="H53" i="14"/>
  <c r="G53" i="14" s="1"/>
  <c r="W37" i="14"/>
  <c r="S34" i="14"/>
  <c r="T34" i="14"/>
  <c r="X34" i="14" s="1"/>
  <c r="X37" i="14"/>
  <c r="AA37" i="14" s="1"/>
  <c r="AB24" i="14"/>
  <c r="AA24" i="14"/>
  <c r="T25" i="14"/>
  <c r="S25" i="14"/>
  <c r="P66" i="14"/>
  <c r="S66" i="14" s="1"/>
  <c r="T59" i="14"/>
  <c r="S59" i="14"/>
  <c r="W64" i="14"/>
  <c r="X64" i="14"/>
  <c r="T71" i="14"/>
  <c r="S71" i="14"/>
  <c r="O41" i="14"/>
  <c r="K41" i="14"/>
  <c r="T77" i="14"/>
  <c r="S77" i="14"/>
  <c r="X35" i="14"/>
  <c r="W35" i="14" s="1"/>
  <c r="T23" i="14"/>
  <c r="S23" i="14"/>
  <c r="X60" i="14"/>
  <c r="W60" i="14"/>
  <c r="H102" i="14"/>
  <c r="K13" i="14"/>
  <c r="G13" i="14"/>
  <c r="T61" i="14"/>
  <c r="S61" i="14"/>
  <c r="X89" i="14"/>
  <c r="AB85" i="14"/>
  <c r="AB89" i="14" s="1"/>
  <c r="X9" i="14"/>
  <c r="W9" i="14" s="1"/>
  <c r="T11" i="14"/>
  <c r="S11" i="14" s="1"/>
  <c r="T27" i="14"/>
  <c r="S27" i="14"/>
  <c r="AB72" i="14"/>
  <c r="AA72" i="14"/>
  <c r="T69" i="14"/>
  <c r="P82" i="14"/>
  <c r="S69" i="14"/>
  <c r="T63" i="14"/>
  <c r="S63" i="14"/>
  <c r="P30" i="14"/>
  <c r="S21" i="14"/>
  <c r="G47" i="14"/>
  <c r="AB78" i="14"/>
  <c r="AA78" i="14"/>
  <c r="T75" i="14"/>
  <c r="S75" i="14"/>
  <c r="AB74" i="14"/>
  <c r="AA74" i="14"/>
  <c r="D95" i="14"/>
  <c r="T48" i="14"/>
  <c r="S48" i="14" s="1"/>
  <c r="AB37" i="14"/>
  <c r="S9" i="14"/>
  <c r="AB62" i="14"/>
  <c r="AA62" i="14"/>
  <c r="O82" i="14"/>
  <c r="AB28" i="14"/>
  <c r="AA28" i="14"/>
  <c r="T38" i="14"/>
  <c r="S38" i="14" s="1"/>
  <c r="AB76" i="14"/>
  <c r="AA76" i="14"/>
  <c r="L102" i="14"/>
  <c r="O13" i="14"/>
  <c r="H15" i="14"/>
  <c r="T73" i="14"/>
  <c r="S73" i="14"/>
  <c r="AB80" i="14"/>
  <c r="AA80" i="14"/>
  <c r="AB22" i="14"/>
  <c r="AA22" i="14"/>
  <c r="AB70" i="14"/>
  <c r="AA70" i="14"/>
  <c r="X65" i="14"/>
  <c r="W65" i="14"/>
  <c r="X81" i="14"/>
  <c r="W81" i="14"/>
  <c r="T79" i="14"/>
  <c r="S79" i="14"/>
  <c r="AB90" i="13"/>
  <c r="AA90" i="13" s="1"/>
  <c r="T71" i="13"/>
  <c r="S71" i="13"/>
  <c r="AB86" i="13"/>
  <c r="AA86" i="13" s="1"/>
  <c r="AB88" i="13"/>
  <c r="AA88" i="13" s="1"/>
  <c r="X27" i="13"/>
  <c r="W27" i="13" s="1"/>
  <c r="X29" i="13"/>
  <c r="W29" i="13" s="1"/>
  <c r="T85" i="13"/>
  <c r="S85" i="13" s="1"/>
  <c r="X26" i="13"/>
  <c r="W26" i="13" s="1"/>
  <c r="T81" i="13"/>
  <c r="S81" i="13" s="1"/>
  <c r="AB25" i="13"/>
  <c r="X48" i="13"/>
  <c r="W48" i="13" s="1"/>
  <c r="AB45" i="13"/>
  <c r="AA45" i="13" s="1"/>
  <c r="X44" i="13"/>
  <c r="W44" i="13" s="1"/>
  <c r="X101" i="13"/>
  <c r="AB97" i="13"/>
  <c r="AB101" i="13" s="1"/>
  <c r="X72" i="13"/>
  <c r="W72" i="13"/>
  <c r="P76" i="13"/>
  <c r="T69" i="13"/>
  <c r="S69" i="13" s="1"/>
  <c r="T75" i="13"/>
  <c r="S75" i="13"/>
  <c r="T73" i="13"/>
  <c r="S73" i="13"/>
  <c r="T58" i="13"/>
  <c r="S58" i="13" s="1"/>
  <c r="AB84" i="13"/>
  <c r="AA84" i="13" s="1"/>
  <c r="AB80" i="13"/>
  <c r="AA80" i="13" s="1"/>
  <c r="T47" i="13"/>
  <c r="S47" i="13" s="1"/>
  <c r="X28" i="13"/>
  <c r="W28" i="13" s="1"/>
  <c r="T87" i="13"/>
  <c r="S87" i="13" s="1"/>
  <c r="T89" i="13"/>
  <c r="S89" i="13" s="1"/>
  <c r="P51" i="13"/>
  <c r="P55" i="13" s="1"/>
  <c r="AB43" i="13"/>
  <c r="T83" i="13"/>
  <c r="S83" i="13" s="1"/>
  <c r="P94" i="13"/>
  <c r="T79" i="13"/>
  <c r="S79" i="13" s="1"/>
  <c r="K45" i="12"/>
  <c r="K15" i="12"/>
  <c r="X80" i="12"/>
  <c r="AB80" i="12" s="1"/>
  <c r="S25" i="12"/>
  <c r="T25" i="12"/>
  <c r="K41" i="12"/>
  <c r="T81" i="12"/>
  <c r="X81" i="12" s="1"/>
  <c r="X23" i="12"/>
  <c r="W23" i="12"/>
  <c r="P30" i="12"/>
  <c r="D96" i="12"/>
  <c r="X36" i="12"/>
  <c r="W36" i="12" s="1"/>
  <c r="T77" i="12"/>
  <c r="S77" i="12"/>
  <c r="S24" i="12"/>
  <c r="T24" i="12"/>
  <c r="W72" i="12"/>
  <c r="X72" i="12"/>
  <c r="K13" i="12"/>
  <c r="AA27" i="12"/>
  <c r="AB27" i="12"/>
  <c r="AB38" i="12"/>
  <c r="AA38" i="12" s="1"/>
  <c r="T39" i="12"/>
  <c r="S39" i="12" s="1"/>
  <c r="W76" i="12"/>
  <c r="X76" i="12"/>
  <c r="W74" i="12"/>
  <c r="X74" i="12"/>
  <c r="T60" i="12"/>
  <c r="S60" i="12"/>
  <c r="X34" i="12"/>
  <c r="W34" i="12" s="1"/>
  <c r="W81" i="12"/>
  <c r="K44" i="12"/>
  <c r="H53" i="12"/>
  <c r="T71" i="12"/>
  <c r="S71" i="12"/>
  <c r="T75" i="12"/>
  <c r="S75" i="12"/>
  <c r="X21" i="12"/>
  <c r="W21" i="12"/>
  <c r="P41" i="12"/>
  <c r="T33" i="12"/>
  <c r="S33" i="12" s="1"/>
  <c r="T79" i="12"/>
  <c r="S79" i="12"/>
  <c r="AB78" i="12"/>
  <c r="AA78" i="12"/>
  <c r="T73" i="12"/>
  <c r="S73" i="12"/>
  <c r="D103" i="12"/>
  <c r="D104" i="12" s="1"/>
  <c r="D105" i="12" s="1"/>
  <c r="G13" i="12"/>
  <c r="T69" i="12"/>
  <c r="P82" i="12"/>
  <c r="S69" i="12"/>
  <c r="T35" i="12"/>
  <c r="S35" i="12" s="1"/>
  <c r="T37" i="12"/>
  <c r="S37" i="12" s="1"/>
  <c r="S65" i="12"/>
  <c r="T65" i="12"/>
  <c r="L49" i="12"/>
  <c r="L46" i="12"/>
  <c r="L50" i="12"/>
  <c r="L47" i="12"/>
  <c r="AB61" i="12"/>
  <c r="AA61" i="12"/>
  <c r="W70" i="12"/>
  <c r="X70" i="12"/>
  <c r="T48" i="12"/>
  <c r="S48" i="12" s="1"/>
  <c r="S63" i="12"/>
  <c r="T63" i="12"/>
  <c r="O82" i="12"/>
  <c r="O30" i="12"/>
  <c r="T22" i="12"/>
  <c r="S22" i="12"/>
  <c r="D15" i="12"/>
  <c r="P66" i="12"/>
  <c r="S66" i="12" s="1"/>
  <c r="T59" i="12"/>
  <c r="S59" i="12"/>
  <c r="AA64" i="12"/>
  <c r="AB64" i="12"/>
  <c r="T62" i="12"/>
  <c r="S62" i="12"/>
  <c r="H15" i="11"/>
  <c r="G15" i="11" s="1"/>
  <c r="G13" i="11"/>
  <c r="O66" i="11"/>
  <c r="S38" i="11"/>
  <c r="T38" i="11"/>
  <c r="AA28" i="11"/>
  <c r="AB28" i="11"/>
  <c r="L50" i="11"/>
  <c r="K50" i="11" s="1"/>
  <c r="L47" i="11"/>
  <c r="K47" i="11" s="1"/>
  <c r="L49" i="11"/>
  <c r="K49" i="11" s="1"/>
  <c r="L46" i="11"/>
  <c r="K46" i="11" s="1"/>
  <c r="L45" i="11"/>
  <c r="X64" i="11"/>
  <c r="W64" i="11"/>
  <c r="S81" i="11"/>
  <c r="T81" i="11"/>
  <c r="G50" i="11"/>
  <c r="D89" i="11"/>
  <c r="T74" i="11"/>
  <c r="S74" i="11"/>
  <c r="X71" i="11"/>
  <c r="W71" i="11"/>
  <c r="X39" i="11"/>
  <c r="W39" i="11"/>
  <c r="AB21" i="11"/>
  <c r="AA21" i="11" s="1"/>
  <c r="P41" i="11"/>
  <c r="O41" i="11" s="1"/>
  <c r="AB37" i="11"/>
  <c r="AA37" i="11"/>
  <c r="K82" i="11"/>
  <c r="L15" i="11"/>
  <c r="AB26" i="11"/>
  <c r="AA26" i="11"/>
  <c r="G49" i="11"/>
  <c r="X77" i="11"/>
  <c r="W77" i="11"/>
  <c r="X75" i="11"/>
  <c r="W75" i="11"/>
  <c r="T70" i="11"/>
  <c r="S70" i="11"/>
  <c r="T69" i="11"/>
  <c r="S69" i="11" s="1"/>
  <c r="P82" i="11"/>
  <c r="X24" i="11"/>
  <c r="W24" i="11"/>
  <c r="X79" i="11"/>
  <c r="W79" i="11"/>
  <c r="T76" i="11"/>
  <c r="S76" i="11"/>
  <c r="AB63" i="11"/>
  <c r="AA63" i="11" s="1"/>
  <c r="X34" i="11"/>
  <c r="W34" i="11" s="1"/>
  <c r="G47" i="11"/>
  <c r="S65" i="11"/>
  <c r="T65" i="11"/>
  <c r="W23" i="11"/>
  <c r="X23" i="11"/>
  <c r="T22" i="11"/>
  <c r="P30" i="11"/>
  <c r="T80" i="11"/>
  <c r="S80" i="11"/>
  <c r="T48" i="11"/>
  <c r="S48" i="11" s="1"/>
  <c r="H53" i="11"/>
  <c r="G44" i="11"/>
  <c r="K44" i="11"/>
  <c r="T72" i="11"/>
  <c r="S72" i="11"/>
  <c r="T78" i="11"/>
  <c r="S78" i="11"/>
  <c r="AB61" i="11"/>
  <c r="AA61" i="11" s="1"/>
  <c r="T36" i="11"/>
  <c r="S36" i="11"/>
  <c r="K11" i="11"/>
  <c r="S25" i="11"/>
  <c r="T25" i="11"/>
  <c r="T35" i="11"/>
  <c r="S35" i="11"/>
  <c r="X73" i="11"/>
  <c r="W73" i="11"/>
  <c r="T27" i="11"/>
  <c r="S27" i="11"/>
  <c r="X59" i="11"/>
  <c r="W59" i="11"/>
  <c r="H96" i="11"/>
  <c r="AB62" i="11"/>
  <c r="AA62" i="11" s="1"/>
  <c r="S9" i="11"/>
  <c r="P11" i="11"/>
  <c r="P13" i="11" s="1"/>
  <c r="X28" i="10"/>
  <c r="W28" i="10"/>
  <c r="X25" i="10"/>
  <c r="W25" i="10"/>
  <c r="T60" i="10"/>
  <c r="S60" i="10" s="1"/>
  <c r="K66" i="10"/>
  <c r="L45" i="10"/>
  <c r="O45" i="10" s="1"/>
  <c r="O41" i="10"/>
  <c r="L49" i="10"/>
  <c r="K49" i="10" s="1"/>
  <c r="L46" i="10"/>
  <c r="O46" i="10" s="1"/>
  <c r="L50" i="10"/>
  <c r="K50" i="10" s="1"/>
  <c r="X71" i="10"/>
  <c r="W71" i="10" s="1"/>
  <c r="AB36" i="10"/>
  <c r="AA36" i="10"/>
  <c r="T48" i="10"/>
  <c r="S48" i="10" s="1"/>
  <c r="T39" i="10"/>
  <c r="S39" i="10"/>
  <c r="T63" i="10"/>
  <c r="S63" i="10" s="1"/>
  <c r="T37" i="10"/>
  <c r="S37" i="10"/>
  <c r="W76" i="10"/>
  <c r="X76" i="10"/>
  <c r="H96" i="10"/>
  <c r="K13" i="10"/>
  <c r="AB23" i="10"/>
  <c r="AA23" i="10"/>
  <c r="P66" i="10"/>
  <c r="O66" i="10" s="1"/>
  <c r="T59" i="10"/>
  <c r="S59" i="10" s="1"/>
  <c r="D85" i="10"/>
  <c r="X96" i="10"/>
  <c r="AA13" i="10"/>
  <c r="L96" i="10"/>
  <c r="O13" i="10"/>
  <c r="AB27" i="10"/>
  <c r="AA27" i="10"/>
  <c r="T35" i="10"/>
  <c r="S35" i="10"/>
  <c r="S81" i="10"/>
  <c r="T81" i="10"/>
  <c r="AB21" i="10"/>
  <c r="AA21" i="10"/>
  <c r="P41" i="10"/>
  <c r="S33" i="10"/>
  <c r="T33" i="10"/>
  <c r="H53" i="10"/>
  <c r="G53" i="10" s="1"/>
  <c r="K44" i="10"/>
  <c r="H15" i="10"/>
  <c r="K15" i="10" s="1"/>
  <c r="X34" i="10"/>
  <c r="W34" i="10"/>
  <c r="W78" i="10"/>
  <c r="X78" i="10"/>
  <c r="X72" i="10"/>
  <c r="W72" i="10" s="1"/>
  <c r="W74" i="10"/>
  <c r="X74" i="10"/>
  <c r="X79" i="10"/>
  <c r="W79" i="10"/>
  <c r="X75" i="10"/>
  <c r="W75" i="10"/>
  <c r="D96" i="10"/>
  <c r="G13" i="10"/>
  <c r="AB13" i="10" s="1"/>
  <c r="X77" i="10"/>
  <c r="W77" i="10"/>
  <c r="T62" i="10"/>
  <c r="S62" i="10" s="1"/>
  <c r="T96" i="10"/>
  <c r="W13" i="10"/>
  <c r="AB38" i="10"/>
  <c r="AA38" i="10"/>
  <c r="D97" i="10"/>
  <c r="T24" i="10"/>
  <c r="S24" i="10"/>
  <c r="P30" i="10"/>
  <c r="O30" i="10" s="1"/>
  <c r="S65" i="10"/>
  <c r="T65" i="10"/>
  <c r="T26" i="10"/>
  <c r="S26" i="10"/>
  <c r="X70" i="10"/>
  <c r="W70" i="10" s="1"/>
  <c r="T61" i="10"/>
  <c r="S61" i="10" s="1"/>
  <c r="W80" i="10"/>
  <c r="X80" i="10"/>
  <c r="T69" i="10"/>
  <c r="S69" i="10" s="1"/>
  <c r="P82" i="10"/>
  <c r="O82" i="10" s="1"/>
  <c r="T64" i="10"/>
  <c r="S64" i="10"/>
  <c r="X73" i="10"/>
  <c r="W73" i="10"/>
  <c r="K82" i="9"/>
  <c r="D98" i="9"/>
  <c r="K66" i="9"/>
  <c r="W35" i="9"/>
  <c r="X35" i="9"/>
  <c r="S37" i="9"/>
  <c r="T37" i="9"/>
  <c r="W23" i="9"/>
  <c r="X23" i="9"/>
  <c r="T73" i="9"/>
  <c r="S73" i="9"/>
  <c r="T69" i="9"/>
  <c r="P82" i="9"/>
  <c r="O82" i="9" s="1"/>
  <c r="S69" i="9"/>
  <c r="T70" i="9"/>
  <c r="S70" i="9"/>
  <c r="T79" i="9"/>
  <c r="S79" i="9"/>
  <c r="W48" i="9"/>
  <c r="P66" i="9"/>
  <c r="O66" i="9" s="1"/>
  <c r="T59" i="9"/>
  <c r="S59" i="9"/>
  <c r="X36" i="9"/>
  <c r="W36" i="9"/>
  <c r="S81" i="9"/>
  <c r="T81" i="9"/>
  <c r="AB26" i="9"/>
  <c r="AA26" i="9"/>
  <c r="W60" i="9"/>
  <c r="X60" i="9"/>
  <c r="T34" i="9"/>
  <c r="S34" i="9"/>
  <c r="P41" i="9"/>
  <c r="X61" i="9"/>
  <c r="W61" i="9"/>
  <c r="P44" i="9"/>
  <c r="S30" i="9"/>
  <c r="AB39" i="9"/>
  <c r="AA39" i="9"/>
  <c r="H53" i="9"/>
  <c r="H95" i="9" s="1"/>
  <c r="K44" i="9"/>
  <c r="T77" i="9"/>
  <c r="S77" i="9"/>
  <c r="X63" i="9"/>
  <c r="W63" i="9"/>
  <c r="D15" i="9"/>
  <c r="H11" i="9"/>
  <c r="K9" i="9"/>
  <c r="T78" i="9"/>
  <c r="S78" i="9" s="1"/>
  <c r="W51" i="9"/>
  <c r="X51" i="9"/>
  <c r="AB33" i="9"/>
  <c r="AA33" i="9"/>
  <c r="T30" i="9"/>
  <c r="T74" i="9"/>
  <c r="S74" i="9"/>
  <c r="T76" i="9"/>
  <c r="S76" i="9"/>
  <c r="T62" i="9"/>
  <c r="S62" i="9" s="1"/>
  <c r="T3" i="9"/>
  <c r="T9" i="9" s="1"/>
  <c r="S9" i="9" s="1"/>
  <c r="X1" i="9"/>
  <c r="X27" i="9"/>
  <c r="W27" i="9"/>
  <c r="X65" i="9"/>
  <c r="W65" i="9"/>
  <c r="P11" i="9"/>
  <c r="P13" i="9" s="1"/>
  <c r="AB24" i="9"/>
  <c r="AA24" i="9"/>
  <c r="L96" i="9"/>
  <c r="O11" i="9"/>
  <c r="T64" i="9"/>
  <c r="S64" i="9"/>
  <c r="T71" i="9"/>
  <c r="S71" i="9"/>
  <c r="W28" i="9"/>
  <c r="X28" i="9"/>
  <c r="T75" i="9"/>
  <c r="S75" i="9"/>
  <c r="X38" i="9"/>
  <c r="W38" i="9"/>
  <c r="X25" i="9"/>
  <c r="W25" i="9"/>
  <c r="T72" i="9"/>
  <c r="S72" i="9"/>
  <c r="O44" i="9"/>
  <c r="S52" i="9"/>
  <c r="T52" i="9"/>
  <c r="T80" i="9"/>
  <c r="S80" i="9"/>
  <c r="L57" i="13" l="1"/>
  <c r="K57" i="13" s="1"/>
  <c r="J49" i="26"/>
  <c r="L53" i="9"/>
  <c r="L95" i="9" s="1"/>
  <c r="L97" i="9" s="1"/>
  <c r="G11" i="9"/>
  <c r="H13" i="9"/>
  <c r="X33" i="11"/>
  <c r="W33" i="11" s="1"/>
  <c r="G15" i="12"/>
  <c r="K56" i="13"/>
  <c r="O51" i="13"/>
  <c r="K54" i="13"/>
  <c r="K40" i="13"/>
  <c r="O55" i="13"/>
  <c r="T40" i="13"/>
  <c r="P40" i="13"/>
  <c r="AA25" i="13"/>
  <c r="S11" i="10"/>
  <c r="P13" i="10"/>
  <c r="O11" i="10"/>
  <c r="W21" i="9"/>
  <c r="X21" i="9"/>
  <c r="I49" i="26"/>
  <c r="L59" i="13"/>
  <c r="K59" i="13" s="1"/>
  <c r="L60" i="13"/>
  <c r="AA74" i="13"/>
  <c r="X9" i="13"/>
  <c r="S9" i="13"/>
  <c r="I4" i="28"/>
  <c r="Q4" i="28" s="1"/>
  <c r="J4" i="27"/>
  <c r="L26" i="26"/>
  <c r="L49" i="26" s="1"/>
  <c r="K49" i="26"/>
  <c r="X9" i="12"/>
  <c r="W9" i="12" s="1"/>
  <c r="T11" i="12"/>
  <c r="O11" i="12"/>
  <c r="O55" i="32"/>
  <c r="P57" i="32"/>
  <c r="P92" i="32" s="1"/>
  <c r="P102" i="32"/>
  <c r="P104" i="32" s="1"/>
  <c r="S55" i="32"/>
  <c r="J8" i="27"/>
  <c r="I8" i="28"/>
  <c r="Q8" i="28" s="1"/>
  <c r="L47" i="27"/>
  <c r="L47" i="28" s="1"/>
  <c r="K47" i="28"/>
  <c r="O55" i="30"/>
  <c r="P100" i="30"/>
  <c r="P102" i="30" s="1"/>
  <c r="P57" i="30"/>
  <c r="S55" i="30"/>
  <c r="O43" i="33"/>
  <c r="P45" i="33"/>
  <c r="P84" i="33" s="1"/>
  <c r="Q84" i="33" s="1"/>
  <c r="P94" i="33"/>
  <c r="P96" i="33" s="1"/>
  <c r="S43" i="33"/>
  <c r="X9" i="11"/>
  <c r="W9" i="11"/>
  <c r="T11" i="11"/>
  <c r="S11" i="11" s="1"/>
  <c r="O94" i="13"/>
  <c r="G53" i="12"/>
  <c r="H102" i="12"/>
  <c r="H104" i="12" s="1"/>
  <c r="X92" i="13"/>
  <c r="W92" i="13" s="1"/>
  <c r="X91" i="13"/>
  <c r="W91" i="13" s="1"/>
  <c r="W82" i="13"/>
  <c r="O76" i="13"/>
  <c r="AA82" i="13"/>
  <c r="W70" i="13"/>
  <c r="H63" i="13"/>
  <c r="P46" i="14"/>
  <c r="H55" i="14"/>
  <c r="H91" i="14" s="1"/>
  <c r="X26" i="14"/>
  <c r="W26" i="14"/>
  <c r="O30" i="14"/>
  <c r="H101" i="14"/>
  <c r="H103" i="14" s="1"/>
  <c r="W34" i="14"/>
  <c r="AB34" i="14"/>
  <c r="AA34" i="14"/>
  <c r="O15" i="14"/>
  <c r="X79" i="14"/>
  <c r="W79" i="14"/>
  <c r="K15" i="14"/>
  <c r="G15" i="14"/>
  <c r="X75" i="14"/>
  <c r="W75" i="14"/>
  <c r="T82" i="14"/>
  <c r="X69" i="14"/>
  <c r="W69" i="14"/>
  <c r="AB81" i="14"/>
  <c r="AA81" i="14"/>
  <c r="T30" i="14"/>
  <c r="S30" i="14" s="1"/>
  <c r="X21" i="14"/>
  <c r="W21" i="14" s="1"/>
  <c r="W63" i="14"/>
  <c r="X63" i="14"/>
  <c r="AB60" i="14"/>
  <c r="AA60" i="14"/>
  <c r="X77" i="14"/>
  <c r="W77" i="14"/>
  <c r="K50" i="14"/>
  <c r="T66" i="14"/>
  <c r="W66" i="14" s="1"/>
  <c r="X59" i="14"/>
  <c r="W59" i="14"/>
  <c r="P47" i="14"/>
  <c r="P102" i="14"/>
  <c r="X38" i="14"/>
  <c r="W38" i="14" s="1"/>
  <c r="W48" i="14"/>
  <c r="X48" i="14"/>
  <c r="X27" i="14"/>
  <c r="W27" i="14"/>
  <c r="T13" i="14"/>
  <c r="T15" i="14" s="1"/>
  <c r="O46" i="14"/>
  <c r="K46" i="14"/>
  <c r="X71" i="14"/>
  <c r="W71" i="14"/>
  <c r="AB33" i="14"/>
  <c r="AA33" i="14"/>
  <c r="P50" i="14"/>
  <c r="O50" i="14" s="1"/>
  <c r="AB65" i="14"/>
  <c r="AA65" i="14"/>
  <c r="X73" i="14"/>
  <c r="W73" i="14"/>
  <c r="S82" i="14"/>
  <c r="X11" i="14"/>
  <c r="W11" i="14" s="1"/>
  <c r="AB9" i="14"/>
  <c r="AB11" i="14" s="1"/>
  <c r="X61" i="14"/>
  <c r="W61" i="14"/>
  <c r="W23" i="14"/>
  <c r="X23" i="14"/>
  <c r="AB35" i="14"/>
  <c r="AA35" i="14" s="1"/>
  <c r="K49" i="14"/>
  <c r="AB64" i="14"/>
  <c r="AA64" i="14"/>
  <c r="T41" i="14"/>
  <c r="H7" i="14"/>
  <c r="K45" i="14"/>
  <c r="O45" i="14"/>
  <c r="L53" i="14"/>
  <c r="W25" i="14"/>
  <c r="X25" i="14"/>
  <c r="P49" i="14"/>
  <c r="X47" i="13"/>
  <c r="W47" i="13" s="1"/>
  <c r="T51" i="13"/>
  <c r="S51" i="13" s="1"/>
  <c r="X24" i="13"/>
  <c r="W24" i="13" s="1"/>
  <c r="AB44" i="13"/>
  <c r="AA44" i="13" s="1"/>
  <c r="AB29" i="13"/>
  <c r="AA29" i="13" s="1"/>
  <c r="T94" i="13"/>
  <c r="X79" i="13"/>
  <c r="W79" i="13" s="1"/>
  <c r="X89" i="13"/>
  <c r="W89" i="13" s="1"/>
  <c r="W73" i="13"/>
  <c r="X73" i="13"/>
  <c r="T76" i="13"/>
  <c r="X69" i="13"/>
  <c r="W69" i="13" s="1"/>
  <c r="AB48" i="13"/>
  <c r="AA48" i="13" s="1"/>
  <c r="X71" i="13"/>
  <c r="W71" i="13"/>
  <c r="AA43" i="13"/>
  <c r="AB70" i="13"/>
  <c r="AA70" i="13"/>
  <c r="AB28" i="13"/>
  <c r="AA28" i="13" s="1"/>
  <c r="AB72" i="13"/>
  <c r="AA72" i="13"/>
  <c r="X81" i="13"/>
  <c r="W81" i="13" s="1"/>
  <c r="AB27" i="13"/>
  <c r="AA27" i="13" s="1"/>
  <c r="P56" i="13"/>
  <c r="O56" i="13" s="1"/>
  <c r="X87" i="13"/>
  <c r="W87" i="13" s="1"/>
  <c r="X58" i="13"/>
  <c r="W75" i="13"/>
  <c r="X75" i="13"/>
  <c r="AB26" i="13"/>
  <c r="AA26" i="13" s="1"/>
  <c r="X85" i="13"/>
  <c r="W85" i="13" s="1"/>
  <c r="X83" i="13"/>
  <c r="W83" i="13" s="1"/>
  <c r="AA80" i="12"/>
  <c r="O41" i="12"/>
  <c r="O45" i="12"/>
  <c r="X25" i="12"/>
  <c r="W25" i="12"/>
  <c r="K50" i="12"/>
  <c r="K47" i="12"/>
  <c r="K49" i="12"/>
  <c r="K46" i="12"/>
  <c r="S30" i="12"/>
  <c r="AB23" i="12"/>
  <c r="AA23" i="12"/>
  <c r="X63" i="12"/>
  <c r="W63" i="12"/>
  <c r="X65" i="12"/>
  <c r="W65" i="12"/>
  <c r="X73" i="12"/>
  <c r="W73" i="12"/>
  <c r="AB21" i="12"/>
  <c r="AA21" i="12"/>
  <c r="AB81" i="12"/>
  <c r="AA81" i="12"/>
  <c r="AB34" i="12"/>
  <c r="AA34" i="12" s="1"/>
  <c r="X39" i="12"/>
  <c r="W39" i="12" s="1"/>
  <c r="X62" i="12"/>
  <c r="W62" i="12"/>
  <c r="W59" i="12"/>
  <c r="T66" i="12"/>
  <c r="W66" i="12" s="1"/>
  <c r="X59" i="12"/>
  <c r="X35" i="12"/>
  <c r="W35" i="12" s="1"/>
  <c r="T41" i="12"/>
  <c r="S41" i="12" s="1"/>
  <c r="X33" i="12"/>
  <c r="W33" i="12" s="1"/>
  <c r="H55" i="12"/>
  <c r="AB76" i="12"/>
  <c r="AA76" i="12"/>
  <c r="AB70" i="12"/>
  <c r="AA70" i="12"/>
  <c r="X75" i="12"/>
  <c r="W75" i="12"/>
  <c r="X60" i="12"/>
  <c r="W60" i="12"/>
  <c r="X77" i="12"/>
  <c r="W77" i="12"/>
  <c r="H7" i="12"/>
  <c r="X22" i="12"/>
  <c r="W22" i="12"/>
  <c r="X48" i="12"/>
  <c r="W48" i="12" s="1"/>
  <c r="X37" i="12"/>
  <c r="W37" i="12" s="1"/>
  <c r="S82" i="12"/>
  <c r="P49" i="12"/>
  <c r="O49" i="12" s="1"/>
  <c r="P46" i="12"/>
  <c r="P50" i="12"/>
  <c r="P47" i="12"/>
  <c r="T30" i="12"/>
  <c r="T44" i="12" s="1"/>
  <c r="S44" i="12" s="1"/>
  <c r="AB74" i="12"/>
  <c r="AA74" i="12"/>
  <c r="AB72" i="12"/>
  <c r="AA72" i="12"/>
  <c r="X24" i="12"/>
  <c r="W24" i="12"/>
  <c r="L53" i="12"/>
  <c r="O44" i="12"/>
  <c r="X69" i="12"/>
  <c r="W69" i="12"/>
  <c r="T82" i="12"/>
  <c r="X79" i="12"/>
  <c r="W79" i="12"/>
  <c r="X71" i="12"/>
  <c r="W71" i="12"/>
  <c r="AB36" i="12"/>
  <c r="AA36" i="12" s="1"/>
  <c r="T41" i="11"/>
  <c r="T45" i="11" s="1"/>
  <c r="K45" i="11"/>
  <c r="K13" i="11"/>
  <c r="K15" i="11"/>
  <c r="X65" i="11"/>
  <c r="X66" i="11" s="1"/>
  <c r="W65" i="11"/>
  <c r="AB24" i="11"/>
  <c r="AA24" i="11"/>
  <c r="T66" i="11"/>
  <c r="W80" i="11"/>
  <c r="X80" i="11"/>
  <c r="AA23" i="11"/>
  <c r="AB23" i="11"/>
  <c r="L53" i="11"/>
  <c r="P15" i="11"/>
  <c r="AB59" i="11"/>
  <c r="AA59" i="11" s="1"/>
  <c r="AB73" i="11"/>
  <c r="AA73" i="11"/>
  <c r="X25" i="11"/>
  <c r="W25" i="11"/>
  <c r="W36" i="11"/>
  <c r="X36" i="11"/>
  <c r="W78" i="11"/>
  <c r="X78" i="11"/>
  <c r="X48" i="11"/>
  <c r="W48" i="11" s="1"/>
  <c r="P44" i="11"/>
  <c r="O30" i="11"/>
  <c r="AB79" i="11"/>
  <c r="AA79" i="11"/>
  <c r="X69" i="11"/>
  <c r="W69" i="11" s="1"/>
  <c r="T82" i="11"/>
  <c r="O11" i="11"/>
  <c r="P49" i="11"/>
  <c r="O49" i="11" s="1"/>
  <c r="P46" i="11"/>
  <c r="P45" i="11"/>
  <c r="P50" i="11"/>
  <c r="O50" i="11" s="1"/>
  <c r="P47" i="11"/>
  <c r="O47" i="11" s="1"/>
  <c r="W74" i="11"/>
  <c r="X74" i="11"/>
  <c r="AA64" i="11"/>
  <c r="AB64" i="11"/>
  <c r="AB39" i="11"/>
  <c r="AA39" i="11"/>
  <c r="X81" i="11"/>
  <c r="W81" i="11"/>
  <c r="W38" i="11"/>
  <c r="X38" i="11"/>
  <c r="X22" i="11"/>
  <c r="W22" i="11" s="1"/>
  <c r="T30" i="11"/>
  <c r="AB34" i="11"/>
  <c r="AA34" i="11" s="1"/>
  <c r="L96" i="11"/>
  <c r="X27" i="11"/>
  <c r="W27" i="11"/>
  <c r="W35" i="11"/>
  <c r="X35" i="11"/>
  <c r="X72" i="11"/>
  <c r="H55" i="11"/>
  <c r="G53" i="11"/>
  <c r="H95" i="11"/>
  <c r="H97" i="11" s="1"/>
  <c r="S22" i="11"/>
  <c r="W76" i="11"/>
  <c r="X76" i="11"/>
  <c r="W70" i="11"/>
  <c r="X70" i="11"/>
  <c r="AB75" i="11"/>
  <c r="AA75" i="11"/>
  <c r="AB77" i="11"/>
  <c r="AA77" i="11"/>
  <c r="O82" i="11"/>
  <c r="AB71" i="11"/>
  <c r="AA71" i="11" s="1"/>
  <c r="H7" i="11"/>
  <c r="X60" i="10"/>
  <c r="W60" i="10" s="1"/>
  <c r="AB28" i="10"/>
  <c r="AA28" i="10"/>
  <c r="AB25" i="10"/>
  <c r="AA25" i="10"/>
  <c r="L53" i="10"/>
  <c r="K53" i="10" s="1"/>
  <c r="K47" i="10"/>
  <c r="G15" i="10"/>
  <c r="X65" i="10"/>
  <c r="W65" i="10"/>
  <c r="AB74" i="10"/>
  <c r="AA74" i="10"/>
  <c r="AB75" i="10"/>
  <c r="AA75" i="10"/>
  <c r="AA34" i="10"/>
  <c r="AB34" i="10"/>
  <c r="T41" i="10"/>
  <c r="W33" i="10"/>
  <c r="X33" i="10"/>
  <c r="X63" i="10"/>
  <c r="W63" i="10" s="1"/>
  <c r="AB73" i="10"/>
  <c r="AA73" i="10"/>
  <c r="X61" i="10"/>
  <c r="W61" i="10" s="1"/>
  <c r="P44" i="10"/>
  <c r="AB96" i="10"/>
  <c r="AB15" i="10"/>
  <c r="AB72" i="10"/>
  <c r="AA72" i="10" s="1"/>
  <c r="H55" i="10"/>
  <c r="G55" i="10" s="1"/>
  <c r="H95" i="10"/>
  <c r="H97" i="10" s="1"/>
  <c r="X35" i="10"/>
  <c r="W35" i="10"/>
  <c r="X59" i="10"/>
  <c r="W59" i="10" s="1"/>
  <c r="T66" i="10"/>
  <c r="S66" i="10" s="1"/>
  <c r="AB70" i="10"/>
  <c r="AA70" i="10" s="1"/>
  <c r="W24" i="10"/>
  <c r="X24" i="10"/>
  <c r="T30" i="10"/>
  <c r="S30" i="10" s="1"/>
  <c r="X69" i="10"/>
  <c r="W69" i="10" s="1"/>
  <c r="T82" i="10"/>
  <c r="S82" i="10" s="1"/>
  <c r="X26" i="10"/>
  <c r="W26" i="10"/>
  <c r="X62" i="10"/>
  <c r="W62" i="10" s="1"/>
  <c r="AB79" i="10"/>
  <c r="AA79" i="10"/>
  <c r="P45" i="10"/>
  <c r="S45" i="10" s="1"/>
  <c r="P49" i="10"/>
  <c r="P46" i="10"/>
  <c r="S46" i="10" s="1"/>
  <c r="S41" i="10"/>
  <c r="P50" i="10"/>
  <c r="O50" i="10" s="1"/>
  <c r="X81" i="10"/>
  <c r="W81" i="10"/>
  <c r="AB80" i="10"/>
  <c r="AA80" i="10"/>
  <c r="X37" i="10"/>
  <c r="W37" i="10"/>
  <c r="X39" i="10"/>
  <c r="W39" i="10"/>
  <c r="X64" i="10"/>
  <c r="W64" i="10"/>
  <c r="AB78" i="10"/>
  <c r="AA78" i="10"/>
  <c r="AB77" i="10"/>
  <c r="AA77" i="10"/>
  <c r="D98" i="10"/>
  <c r="D87" i="10"/>
  <c r="AB76" i="10"/>
  <c r="AA76" i="10"/>
  <c r="X48" i="10"/>
  <c r="W48" i="10" s="1"/>
  <c r="AB71" i="10"/>
  <c r="AA71" i="10" s="1"/>
  <c r="L15" i="9"/>
  <c r="AB35" i="9"/>
  <c r="AA35" i="9"/>
  <c r="W37" i="9"/>
  <c r="X37" i="9"/>
  <c r="W80" i="9"/>
  <c r="X80" i="9"/>
  <c r="X77" i="9"/>
  <c r="W77" i="9"/>
  <c r="AB61" i="9"/>
  <c r="AA61" i="9"/>
  <c r="AB36" i="9"/>
  <c r="AA36" i="9"/>
  <c r="X69" i="9"/>
  <c r="W69" i="9"/>
  <c r="T82" i="9"/>
  <c r="S82" i="9" s="1"/>
  <c r="O53" i="9"/>
  <c r="AA25" i="9"/>
  <c r="AB25" i="9"/>
  <c r="X75" i="9"/>
  <c r="W75" i="9"/>
  <c r="X71" i="9"/>
  <c r="W71" i="9"/>
  <c r="X64" i="9"/>
  <c r="W64" i="9"/>
  <c r="P96" i="9"/>
  <c r="AA27" i="9"/>
  <c r="AB27" i="9"/>
  <c r="X62" i="9"/>
  <c r="W62" i="9" s="1"/>
  <c r="W74" i="9"/>
  <c r="X74" i="9"/>
  <c r="X78" i="9"/>
  <c r="W78" i="9" s="1"/>
  <c r="P49" i="9"/>
  <c r="S49" i="9" s="1"/>
  <c r="P47" i="9"/>
  <c r="S47" i="9" s="1"/>
  <c r="P45" i="9"/>
  <c r="S45" i="9" s="1"/>
  <c r="P46" i="9"/>
  <c r="S46" i="9" s="1"/>
  <c r="P50" i="9"/>
  <c r="S50" i="9" s="1"/>
  <c r="S41" i="9"/>
  <c r="AA60" i="9"/>
  <c r="AB60" i="9"/>
  <c r="X81" i="9"/>
  <c r="W81" i="9"/>
  <c r="AB48" i="9"/>
  <c r="AA48" i="9"/>
  <c r="W70" i="9"/>
  <c r="X70" i="9"/>
  <c r="AB28" i="9"/>
  <c r="AA28" i="9"/>
  <c r="AB1" i="9"/>
  <c r="AB3" i="9" s="1"/>
  <c r="AB9" i="9" s="1"/>
  <c r="AB11" i="9" s="1"/>
  <c r="X3" i="9"/>
  <c r="X9" i="9" s="1"/>
  <c r="T44" i="9"/>
  <c r="W30" i="9"/>
  <c r="AA51" i="9"/>
  <c r="AB51" i="9"/>
  <c r="AB63" i="9"/>
  <c r="AA63" i="9"/>
  <c r="K53" i="9"/>
  <c r="H55" i="9"/>
  <c r="S44" i="9"/>
  <c r="W59" i="9"/>
  <c r="T66" i="9"/>
  <c r="X59" i="9"/>
  <c r="X73" i="9"/>
  <c r="W73" i="9"/>
  <c r="W52" i="9"/>
  <c r="X52" i="9"/>
  <c r="X30" i="9"/>
  <c r="W72" i="9"/>
  <c r="X72" i="9"/>
  <c r="AB38" i="9"/>
  <c r="AA38" i="9"/>
  <c r="AB65" i="9"/>
  <c r="AA65" i="9"/>
  <c r="W9" i="9"/>
  <c r="T11" i="9"/>
  <c r="S11" i="9" s="1"/>
  <c r="W76" i="9"/>
  <c r="X76" i="9"/>
  <c r="H96" i="9"/>
  <c r="H97" i="9" s="1"/>
  <c r="K11" i="9"/>
  <c r="X34" i="9"/>
  <c r="W34" i="9"/>
  <c r="T41" i="9"/>
  <c r="X79" i="9"/>
  <c r="W79" i="9"/>
  <c r="AB23" i="9"/>
  <c r="AA23" i="9"/>
  <c r="I52" i="2"/>
  <c r="G44" i="2"/>
  <c r="F44" i="2"/>
  <c r="E44" i="2"/>
  <c r="I56" i="26" l="1"/>
  <c r="P90" i="30"/>
  <c r="Q57" i="30"/>
  <c r="Y44" i="39"/>
  <c r="X44" i="39" s="1"/>
  <c r="Y44" i="40"/>
  <c r="X44" i="40" s="1"/>
  <c r="O44" i="10"/>
  <c r="P53" i="10"/>
  <c r="P55" i="10" s="1"/>
  <c r="P1" i="6"/>
  <c r="P9" i="6" s="1"/>
  <c r="F68" i="37"/>
  <c r="F60" i="37"/>
  <c r="F44" i="37"/>
  <c r="F28" i="37"/>
  <c r="F12" i="37"/>
  <c r="F36" i="37"/>
  <c r="L55" i="9"/>
  <c r="L85" i="9" s="1"/>
  <c r="L87" i="9" s="1"/>
  <c r="AB33" i="11"/>
  <c r="AA33" i="11" s="1"/>
  <c r="H114" i="13"/>
  <c r="G63" i="13"/>
  <c r="P57" i="13"/>
  <c r="O57" i="13" s="1"/>
  <c r="O40" i="13"/>
  <c r="P60" i="13"/>
  <c r="O60" i="13" s="1"/>
  <c r="P59" i="13"/>
  <c r="O59" i="13" s="1"/>
  <c r="P54" i="13"/>
  <c r="O54" i="13" s="1"/>
  <c r="S40" i="13"/>
  <c r="X40" i="13"/>
  <c r="W40" i="13" s="1"/>
  <c r="O13" i="11"/>
  <c r="P15" i="10"/>
  <c r="P96" i="10"/>
  <c r="S13" i="10"/>
  <c r="AB21" i="9"/>
  <c r="AA21" i="9"/>
  <c r="L63" i="13"/>
  <c r="L65" i="13" s="1"/>
  <c r="L16" i="13" s="1"/>
  <c r="K60" i="13"/>
  <c r="AB9" i="13"/>
  <c r="W9" i="13"/>
  <c r="J4" i="28"/>
  <c r="K4" i="27"/>
  <c r="Y46" i="34"/>
  <c r="X46" i="34" s="1"/>
  <c r="Y34" i="33"/>
  <c r="X34" i="33" s="1"/>
  <c r="Y46" i="32"/>
  <c r="X46" i="32" s="1"/>
  <c r="Y82" i="31"/>
  <c r="X82" i="31" s="1"/>
  <c r="Y46" i="30"/>
  <c r="X46" i="30" s="1"/>
  <c r="P103" i="12"/>
  <c r="O13" i="12"/>
  <c r="P15" i="12"/>
  <c r="T13" i="12"/>
  <c r="S13" i="12" s="1"/>
  <c r="S11" i="12"/>
  <c r="AB9" i="12"/>
  <c r="AB11" i="12" s="1"/>
  <c r="X11" i="12"/>
  <c r="AA9" i="12"/>
  <c r="T13" i="11"/>
  <c r="T15" i="11" s="1"/>
  <c r="O57" i="30"/>
  <c r="S57" i="30"/>
  <c r="S13" i="14"/>
  <c r="O45" i="33"/>
  <c r="S45" i="33"/>
  <c r="AB9" i="11"/>
  <c r="AB11" i="11" s="1"/>
  <c r="X11" i="11"/>
  <c r="W11" i="11" s="1"/>
  <c r="AA9" i="11"/>
  <c r="O57" i="32"/>
  <c r="S57" i="32"/>
  <c r="K8" i="27"/>
  <c r="J8" i="28"/>
  <c r="U9" i="15"/>
  <c r="T9" i="15" s="1"/>
  <c r="U11" i="13"/>
  <c r="U10" i="13"/>
  <c r="Y44" i="25"/>
  <c r="X44" i="25" s="1"/>
  <c r="Y44" i="24"/>
  <c r="X44" i="24" s="1"/>
  <c r="Y44" i="23"/>
  <c r="X44" i="23" s="1"/>
  <c r="Y44" i="21"/>
  <c r="X44" i="21" s="1"/>
  <c r="Y44" i="15"/>
  <c r="X44" i="15" s="1"/>
  <c r="Y44" i="20"/>
  <c r="X44" i="20" s="1"/>
  <c r="Y44" i="19"/>
  <c r="X44" i="19" s="1"/>
  <c r="Y44" i="17"/>
  <c r="X44" i="17" s="1"/>
  <c r="Y44" i="18"/>
  <c r="X44" i="18" s="1"/>
  <c r="Y44" i="14"/>
  <c r="Y54" i="13"/>
  <c r="Y44" i="9"/>
  <c r="X44" i="9" s="1"/>
  <c r="Y44" i="12"/>
  <c r="Y44" i="11"/>
  <c r="Y44" i="10"/>
  <c r="M11" i="13"/>
  <c r="F36" i="36"/>
  <c r="G8" i="27"/>
  <c r="G8" i="28" s="1"/>
  <c r="O8" i="28" s="1"/>
  <c r="Q11" i="13"/>
  <c r="AB60" i="10"/>
  <c r="AA60" i="10" s="1"/>
  <c r="S94" i="13"/>
  <c r="K53" i="12"/>
  <c r="L102" i="12"/>
  <c r="L104" i="12" s="1"/>
  <c r="AB91" i="13"/>
  <c r="AA91" i="13" s="1"/>
  <c r="AB92" i="13"/>
  <c r="AA92" i="13" s="1"/>
  <c r="S76" i="13"/>
  <c r="H65" i="13"/>
  <c r="AA9" i="13"/>
  <c r="G55" i="14"/>
  <c r="AB26" i="14"/>
  <c r="AA26" i="14"/>
  <c r="AA25" i="14"/>
  <c r="AB25" i="14"/>
  <c r="T50" i="14"/>
  <c r="S50" i="14" s="1"/>
  <c r="T47" i="14"/>
  <c r="S47" i="14" s="1"/>
  <c r="T45" i="14"/>
  <c r="T49" i="14"/>
  <c r="S49" i="14" s="1"/>
  <c r="T46" i="14"/>
  <c r="S41" i="14"/>
  <c r="H104" i="14"/>
  <c r="G91" i="14"/>
  <c r="H93" i="14"/>
  <c r="H95" i="14" s="1"/>
  <c r="G95" i="14" s="1"/>
  <c r="X13" i="14"/>
  <c r="X15" i="14" s="1"/>
  <c r="W15" i="14" s="1"/>
  <c r="AA11" i="14"/>
  <c r="T102" i="14"/>
  <c r="W13" i="14"/>
  <c r="AA77" i="14"/>
  <c r="AB77" i="14"/>
  <c r="L55" i="14"/>
  <c r="K53" i="14"/>
  <c r="L101" i="14"/>
  <c r="L103" i="14" s="1"/>
  <c r="AA61" i="14"/>
  <c r="AB61" i="14"/>
  <c r="AA71" i="14"/>
  <c r="AB71" i="14"/>
  <c r="AA27" i="14"/>
  <c r="AB27" i="14"/>
  <c r="AA38" i="14"/>
  <c r="AB38" i="14"/>
  <c r="AB41" i="14" s="1"/>
  <c r="X30" i="14"/>
  <c r="AB21" i="14"/>
  <c r="AA21" i="14" s="1"/>
  <c r="AA75" i="14"/>
  <c r="AB75" i="14"/>
  <c r="AA79" i="14"/>
  <c r="AB79" i="14"/>
  <c r="AA23" i="14"/>
  <c r="AB23" i="14"/>
  <c r="AB13" i="14"/>
  <c r="AB102" i="14" s="1"/>
  <c r="P53" i="14"/>
  <c r="AB48" i="14"/>
  <c r="AA48" i="14" s="1"/>
  <c r="O47" i="14"/>
  <c r="AA69" i="14"/>
  <c r="X82" i="14"/>
  <c r="AB69" i="14"/>
  <c r="O49" i="14"/>
  <c r="AA9" i="14"/>
  <c r="AA73" i="14"/>
  <c r="AB73" i="14"/>
  <c r="X41" i="14"/>
  <c r="W41" i="14" s="1"/>
  <c r="X66" i="14"/>
  <c r="AA66" i="14" s="1"/>
  <c r="AA59" i="14"/>
  <c r="AB59" i="14"/>
  <c r="AB63" i="14"/>
  <c r="AA63" i="14"/>
  <c r="T44" i="14"/>
  <c r="W30" i="14"/>
  <c r="W82" i="14"/>
  <c r="S15" i="14"/>
  <c r="AB58" i="13"/>
  <c r="AA58" i="13" s="1"/>
  <c r="AA73" i="13"/>
  <c r="AB73" i="13"/>
  <c r="AB24" i="13"/>
  <c r="AB40" i="13" s="1"/>
  <c r="AB87" i="13"/>
  <c r="AA87" i="13" s="1"/>
  <c r="AB81" i="13"/>
  <c r="AA81" i="13" s="1"/>
  <c r="T54" i="13"/>
  <c r="AB85" i="13"/>
  <c r="AA85" i="13" s="1"/>
  <c r="W58" i="13"/>
  <c r="AA71" i="13"/>
  <c r="AB71" i="13"/>
  <c r="X76" i="13"/>
  <c r="W76" i="13" s="1"/>
  <c r="AB69" i="13"/>
  <c r="AA69" i="13" s="1"/>
  <c r="AB89" i="13"/>
  <c r="AA89" i="13" s="1"/>
  <c r="X94" i="13"/>
  <c r="AB79" i="13"/>
  <c r="AA79" i="13" s="1"/>
  <c r="T55" i="13"/>
  <c r="S55" i="13" s="1"/>
  <c r="T59" i="13"/>
  <c r="T56" i="13"/>
  <c r="S56" i="13" s="1"/>
  <c r="T60" i="13"/>
  <c r="T57" i="13"/>
  <c r="AB83" i="13"/>
  <c r="AA83" i="13" s="1"/>
  <c r="AB75" i="13"/>
  <c r="AA75" i="13"/>
  <c r="AB47" i="13"/>
  <c r="AB51" i="13" s="1"/>
  <c r="X51" i="13"/>
  <c r="G55" i="12"/>
  <c r="H92" i="12"/>
  <c r="G92" i="12" s="1"/>
  <c r="AB25" i="12"/>
  <c r="AA25" i="12"/>
  <c r="O50" i="12"/>
  <c r="O46" i="12"/>
  <c r="O47" i="12"/>
  <c r="P53" i="12"/>
  <c r="AB71" i="12"/>
  <c r="AA71" i="12"/>
  <c r="AB37" i="12"/>
  <c r="AA37" i="12" s="1"/>
  <c r="X66" i="12"/>
  <c r="AA66" i="12" s="1"/>
  <c r="AB59" i="12"/>
  <c r="AA59" i="12"/>
  <c r="AA62" i="12"/>
  <c r="AB62" i="12"/>
  <c r="L55" i="12"/>
  <c r="X82" i="12"/>
  <c r="AB69" i="12"/>
  <c r="AA69" i="12"/>
  <c r="AA24" i="12"/>
  <c r="AB24" i="12"/>
  <c r="AA22" i="12"/>
  <c r="AB22" i="12"/>
  <c r="AB77" i="12"/>
  <c r="AA77" i="12"/>
  <c r="AB75" i="12"/>
  <c r="AA75" i="12"/>
  <c r="X41" i="12"/>
  <c r="W41" i="12" s="1"/>
  <c r="AB33" i="12"/>
  <c r="AB39" i="12"/>
  <c r="AA39" i="12" s="1"/>
  <c r="AB65" i="12"/>
  <c r="AA65" i="12"/>
  <c r="AB79" i="12"/>
  <c r="AA79" i="12"/>
  <c r="W30" i="12"/>
  <c r="AB48" i="12"/>
  <c r="AA48" i="12" s="1"/>
  <c r="AB35" i="12"/>
  <c r="AA35" i="12" s="1"/>
  <c r="W82" i="12"/>
  <c r="AA60" i="12"/>
  <c r="AB60" i="12"/>
  <c r="T50" i="12"/>
  <c r="S50" i="12" s="1"/>
  <c r="T47" i="12"/>
  <c r="T45" i="12"/>
  <c r="S45" i="12" s="1"/>
  <c r="T49" i="12"/>
  <c r="T46" i="12"/>
  <c r="S46" i="12" s="1"/>
  <c r="X30" i="12"/>
  <c r="AB73" i="12"/>
  <c r="AA73" i="12"/>
  <c r="AB63" i="12"/>
  <c r="AA63" i="12"/>
  <c r="S41" i="11"/>
  <c r="T46" i="11"/>
  <c r="S46" i="11" s="1"/>
  <c r="S45" i="11"/>
  <c r="X41" i="11"/>
  <c r="W41" i="11" s="1"/>
  <c r="O46" i="11"/>
  <c r="O45" i="11"/>
  <c r="AB72" i="11"/>
  <c r="AA72" i="11" s="1"/>
  <c r="T44" i="11"/>
  <c r="P53" i="11"/>
  <c r="O44" i="11"/>
  <c r="W72" i="11"/>
  <c r="AA27" i="11"/>
  <c r="AB27" i="11"/>
  <c r="AB74" i="11"/>
  <c r="AA74" i="11"/>
  <c r="S30" i="11"/>
  <c r="AA25" i="11"/>
  <c r="AB25" i="11"/>
  <c r="L55" i="11"/>
  <c r="L95" i="11"/>
  <c r="L97" i="11" s="1"/>
  <c r="W66" i="11"/>
  <c r="S66" i="11"/>
  <c r="AB65" i="11"/>
  <c r="AB66" i="11" s="1"/>
  <c r="AA66" i="11" s="1"/>
  <c r="AA65" i="11"/>
  <c r="K53" i="11"/>
  <c r="AB35" i="11"/>
  <c r="AA35" i="11"/>
  <c r="AB22" i="11"/>
  <c r="AA22" i="11" s="1"/>
  <c r="X30" i="11"/>
  <c r="W30" i="11" s="1"/>
  <c r="AB48" i="11"/>
  <c r="AA48" i="11" s="1"/>
  <c r="AA36" i="11"/>
  <c r="AB36" i="11"/>
  <c r="S82" i="11"/>
  <c r="T47" i="11"/>
  <c r="S47" i="11" s="1"/>
  <c r="AB70" i="11"/>
  <c r="AA70" i="11"/>
  <c r="H85" i="11"/>
  <c r="I85" i="11" s="1"/>
  <c r="G55" i="11"/>
  <c r="AA38" i="11"/>
  <c r="AB38" i="11"/>
  <c r="AB81" i="11"/>
  <c r="AA81" i="11"/>
  <c r="P96" i="11"/>
  <c r="S13" i="11"/>
  <c r="AB80" i="11"/>
  <c r="AA80" i="11"/>
  <c r="O15" i="11"/>
  <c r="T49" i="11"/>
  <c r="X82" i="11"/>
  <c r="W82" i="11" s="1"/>
  <c r="AB69" i="11"/>
  <c r="AA69" i="11" s="1"/>
  <c r="AB78" i="11"/>
  <c r="AA78" i="11"/>
  <c r="T50" i="11"/>
  <c r="AB76" i="11"/>
  <c r="AA76" i="11"/>
  <c r="L95" i="10"/>
  <c r="L97" i="10" s="1"/>
  <c r="L55" i="10"/>
  <c r="L85" i="10" s="1"/>
  <c r="O47" i="10"/>
  <c r="O49" i="10"/>
  <c r="AB48" i="10"/>
  <c r="AA48" i="10" s="1"/>
  <c r="D89" i="10"/>
  <c r="AB81" i="10"/>
  <c r="AA81" i="10"/>
  <c r="AB64" i="10"/>
  <c r="AA64" i="10" s="1"/>
  <c r="AA37" i="10"/>
  <c r="AB37" i="10"/>
  <c r="X66" i="10"/>
  <c r="W66" i="10" s="1"/>
  <c r="AB59" i="10"/>
  <c r="AA59" i="10" s="1"/>
  <c r="AB63" i="10"/>
  <c r="AA63" i="10" s="1"/>
  <c r="AB62" i="10"/>
  <c r="AA62" i="10" s="1"/>
  <c r="T44" i="10"/>
  <c r="S44" i="10" s="1"/>
  <c r="H85" i="10"/>
  <c r="G85" i="10" s="1"/>
  <c r="AB61" i="10"/>
  <c r="AA61" i="10" s="1"/>
  <c r="AA33" i="10"/>
  <c r="X41" i="10"/>
  <c r="AB33" i="10"/>
  <c r="X82" i="10"/>
  <c r="W82" i="10" s="1"/>
  <c r="AB69" i="10"/>
  <c r="AA69" i="10" s="1"/>
  <c r="AA24" i="10"/>
  <c r="AB24" i="10"/>
  <c r="X30" i="10"/>
  <c r="W30" i="10" s="1"/>
  <c r="AA35" i="10"/>
  <c r="AB35" i="10"/>
  <c r="AA39" i="10"/>
  <c r="AB39" i="10"/>
  <c r="AA26" i="10"/>
  <c r="AB26" i="10"/>
  <c r="T50" i="10"/>
  <c r="T47" i="10"/>
  <c r="W41" i="10"/>
  <c r="T45" i="10"/>
  <c r="W45" i="10" s="1"/>
  <c r="T49" i="10"/>
  <c r="S49" i="10" s="1"/>
  <c r="T46" i="10"/>
  <c r="W46" i="10" s="1"/>
  <c r="AB65" i="10"/>
  <c r="AA65" i="10"/>
  <c r="H85" i="9"/>
  <c r="H87" i="9" s="1"/>
  <c r="S66" i="9"/>
  <c r="AB37" i="9"/>
  <c r="AA37" i="9"/>
  <c r="AB30" i="9"/>
  <c r="O13" i="9"/>
  <c r="K13" i="9"/>
  <c r="G13" i="9"/>
  <c r="AB13" i="9" s="1"/>
  <c r="H15" i="9"/>
  <c r="AB79" i="9"/>
  <c r="AA79" i="9"/>
  <c r="AB76" i="9"/>
  <c r="AA76" i="9"/>
  <c r="K55" i="9"/>
  <c r="X11" i="9"/>
  <c r="W11" i="9" s="1"/>
  <c r="AA9" i="9"/>
  <c r="AB71" i="9"/>
  <c r="AA71" i="9"/>
  <c r="AA34" i="9"/>
  <c r="AB34" i="9"/>
  <c r="AB41" i="9" s="1"/>
  <c r="X41" i="9"/>
  <c r="AA52" i="9"/>
  <c r="AB52" i="9"/>
  <c r="X66" i="9"/>
  <c r="AB59" i="9"/>
  <c r="AA59" i="9"/>
  <c r="P53" i="9"/>
  <c r="P95" i="9" s="1"/>
  <c r="P97" i="9" s="1"/>
  <c r="W44" i="9"/>
  <c r="AA64" i="9"/>
  <c r="AB64" i="9"/>
  <c r="AB75" i="9"/>
  <c r="AA75" i="9"/>
  <c r="X82" i="9"/>
  <c r="AB69" i="9"/>
  <c r="AA69" i="9"/>
  <c r="H7" i="9"/>
  <c r="AB77" i="9"/>
  <c r="AA77" i="9"/>
  <c r="AB72" i="9"/>
  <c r="AA72" i="9"/>
  <c r="AB70" i="9"/>
  <c r="AA70" i="9"/>
  <c r="AB74" i="9"/>
  <c r="AA74" i="9"/>
  <c r="T50" i="9"/>
  <c r="W50" i="9" s="1"/>
  <c r="T49" i="9"/>
  <c r="W49" i="9" s="1"/>
  <c r="T47" i="9"/>
  <c r="W47" i="9" s="1"/>
  <c r="T45" i="9"/>
  <c r="W45" i="9" s="1"/>
  <c r="W41" i="9"/>
  <c r="T46" i="9"/>
  <c r="W46" i="9" s="1"/>
  <c r="AB81" i="9"/>
  <c r="AA81" i="9"/>
  <c r="W82" i="9"/>
  <c r="AB80" i="9"/>
  <c r="AA80" i="9"/>
  <c r="T13" i="9"/>
  <c r="T96" i="9" s="1"/>
  <c r="AA30" i="9"/>
  <c r="AB73" i="9"/>
  <c r="AA73" i="9"/>
  <c r="AB78" i="9"/>
  <c r="AA78" i="9" s="1"/>
  <c r="AB62" i="9"/>
  <c r="AA62" i="9" s="1"/>
  <c r="P15" i="9"/>
  <c r="J52" i="2"/>
  <c r="J23" i="2"/>
  <c r="AC44" i="39" l="1"/>
  <c r="AB44" i="39" s="1"/>
  <c r="AB53" i="39" s="1"/>
  <c r="AC44" i="40"/>
  <c r="AB44" i="40" s="1"/>
  <c r="AB53" i="40" s="1"/>
  <c r="O55" i="9"/>
  <c r="O53" i="10"/>
  <c r="AA44" i="40"/>
  <c r="X53" i="40"/>
  <c r="AA44" i="39"/>
  <c r="X53" i="39"/>
  <c r="G44" i="37"/>
  <c r="G46" i="37" s="1"/>
  <c r="F46" i="37"/>
  <c r="F47" i="37" s="1"/>
  <c r="G43" i="37" s="1"/>
  <c r="G36" i="37"/>
  <c r="G38" i="37" s="1"/>
  <c r="F38" i="37"/>
  <c r="F39" i="37" s="1"/>
  <c r="G35" i="37" s="1"/>
  <c r="G60" i="37"/>
  <c r="G62" i="37" s="1"/>
  <c r="F62" i="37"/>
  <c r="F63" i="37" s="1"/>
  <c r="G59" i="37" s="1"/>
  <c r="G12" i="37"/>
  <c r="G14" i="37" s="1"/>
  <c r="F14" i="37"/>
  <c r="F15" i="37" s="1"/>
  <c r="G11" i="37" s="1"/>
  <c r="G68" i="37"/>
  <c r="G70" i="37" s="1"/>
  <c r="F70" i="37"/>
  <c r="F71" i="37" s="1"/>
  <c r="G67" i="37" s="1"/>
  <c r="G28" i="37"/>
  <c r="G30" i="37" s="1"/>
  <c r="F30" i="37"/>
  <c r="F31" i="37" s="1"/>
  <c r="G27" i="37" s="1"/>
  <c r="L98" i="9"/>
  <c r="K63" i="13"/>
  <c r="S60" i="13"/>
  <c r="AA40" i="13"/>
  <c r="P63" i="13"/>
  <c r="S15" i="10"/>
  <c r="O15" i="10"/>
  <c r="L114" i="13"/>
  <c r="T15" i="12"/>
  <c r="L4" i="27"/>
  <c r="L4" i="28" s="1"/>
  <c r="K4" i="28"/>
  <c r="AC46" i="34"/>
  <c r="AB46" i="34" s="1"/>
  <c r="AB55" i="34" s="1"/>
  <c r="AC34" i="33"/>
  <c r="AB34" i="33" s="1"/>
  <c r="AB43" i="33" s="1"/>
  <c r="AC46" i="32"/>
  <c r="AB46" i="32" s="1"/>
  <c r="AB55" i="32" s="1"/>
  <c r="AC82" i="31"/>
  <c r="AB82" i="31" s="1"/>
  <c r="AB91" i="31" s="1"/>
  <c r="AB179" i="31" s="1"/>
  <c r="AC46" i="30"/>
  <c r="AB46" i="30" s="1"/>
  <c r="AB55" i="30" s="1"/>
  <c r="W82" i="31"/>
  <c r="X91" i="31"/>
  <c r="X179" i="31" s="1"/>
  <c r="AA46" i="32"/>
  <c r="X55" i="32"/>
  <c r="W34" i="33"/>
  <c r="X43" i="33"/>
  <c r="W46" i="30"/>
  <c r="X55" i="30"/>
  <c r="W46" i="34"/>
  <c r="X55" i="34"/>
  <c r="F35" i="36"/>
  <c r="F72" i="36" s="1"/>
  <c r="G10" i="28"/>
  <c r="O10" i="28" s="1"/>
  <c r="S15" i="12"/>
  <c r="O15" i="12"/>
  <c r="AA11" i="12"/>
  <c r="X13" i="12"/>
  <c r="X15" i="12" s="1"/>
  <c r="W15" i="12" s="1"/>
  <c r="W13" i="12"/>
  <c r="T103" i="12"/>
  <c r="AB13" i="12"/>
  <c r="AB103" i="12" s="1"/>
  <c r="W11" i="12"/>
  <c r="S15" i="11"/>
  <c r="O92" i="32"/>
  <c r="P94" i="32"/>
  <c r="O94" i="32" s="1"/>
  <c r="P105" i="32"/>
  <c r="S92" i="32"/>
  <c r="AB13" i="11"/>
  <c r="AB96" i="11" s="1"/>
  <c r="T15" i="9"/>
  <c r="AB30" i="12"/>
  <c r="L8" i="27"/>
  <c r="L8" i="28" s="1"/>
  <c r="K8" i="28"/>
  <c r="O84" i="33"/>
  <c r="P97" i="33"/>
  <c r="P86" i="33"/>
  <c r="S84" i="33"/>
  <c r="X13" i="11"/>
  <c r="X15" i="11" s="1"/>
  <c r="W15" i="11" s="1"/>
  <c r="AA11" i="11"/>
  <c r="O90" i="30"/>
  <c r="P92" i="30"/>
  <c r="P103" i="30"/>
  <c r="S90" i="30"/>
  <c r="T96" i="11"/>
  <c r="W13" i="11"/>
  <c r="AC44" i="23"/>
  <c r="AB44" i="23" s="1"/>
  <c r="AB53" i="23" s="1"/>
  <c r="AC44" i="24"/>
  <c r="AB44" i="24" s="1"/>
  <c r="AB53" i="24" s="1"/>
  <c r="AC44" i="25"/>
  <c r="AB44" i="25" s="1"/>
  <c r="AB53" i="25" s="1"/>
  <c r="AC44" i="20"/>
  <c r="AB44" i="20" s="1"/>
  <c r="AB53" i="20" s="1"/>
  <c r="AC44" i="19"/>
  <c r="AB44" i="19" s="1"/>
  <c r="AB53" i="19" s="1"/>
  <c r="AC44" i="17"/>
  <c r="AB44" i="17" s="1"/>
  <c r="AB53" i="17" s="1"/>
  <c r="AC44" i="18"/>
  <c r="AB44" i="18" s="1"/>
  <c r="AB53" i="18" s="1"/>
  <c r="AC44" i="21"/>
  <c r="AB44" i="21" s="1"/>
  <c r="AB53" i="21" s="1"/>
  <c r="AC44" i="15"/>
  <c r="AB44" i="15" s="1"/>
  <c r="AB53" i="15" s="1"/>
  <c r="AC44" i="14"/>
  <c r="AC54" i="13"/>
  <c r="AB54" i="13" s="1"/>
  <c r="AC44" i="9"/>
  <c r="AB44" i="9" s="1"/>
  <c r="AC44" i="12"/>
  <c r="AB44" i="12" s="1"/>
  <c r="AC44" i="11"/>
  <c r="AC44" i="10"/>
  <c r="L11" i="13"/>
  <c r="G36" i="36" s="1"/>
  <c r="G11" i="13"/>
  <c r="AA44" i="17"/>
  <c r="X53" i="17"/>
  <c r="X53" i="21"/>
  <c r="AA44" i="21"/>
  <c r="W44" i="19"/>
  <c r="AA44" i="19"/>
  <c r="X53" i="19"/>
  <c r="W53" i="19" s="1"/>
  <c r="AA44" i="23"/>
  <c r="X53" i="23"/>
  <c r="K9" i="15"/>
  <c r="G9" i="15"/>
  <c r="H11" i="15"/>
  <c r="AA44" i="20"/>
  <c r="X53" i="20"/>
  <c r="X53" i="24"/>
  <c r="AA44" i="24"/>
  <c r="L10" i="13"/>
  <c r="G10" i="13"/>
  <c r="H14" i="13"/>
  <c r="AA44" i="18"/>
  <c r="X53" i="18"/>
  <c r="AA44" i="15"/>
  <c r="X53" i="15"/>
  <c r="AA44" i="25"/>
  <c r="X53" i="25"/>
  <c r="W9" i="15"/>
  <c r="T11" i="15"/>
  <c r="AB66" i="14"/>
  <c r="G85" i="9"/>
  <c r="H104" i="13"/>
  <c r="L104" i="13"/>
  <c r="W94" i="13"/>
  <c r="O53" i="12"/>
  <c r="P102" i="12"/>
  <c r="P104" i="12" s="1"/>
  <c r="AA24" i="13"/>
  <c r="K65" i="13"/>
  <c r="G65" i="13"/>
  <c r="AA47" i="13"/>
  <c r="G93" i="14"/>
  <c r="T53" i="14"/>
  <c r="S53" i="14" s="1"/>
  <c r="S44" i="14"/>
  <c r="AB15" i="14"/>
  <c r="AA15" i="14" s="1"/>
  <c r="L91" i="14"/>
  <c r="K55" i="14"/>
  <c r="X102" i="14"/>
  <c r="AA13" i="14"/>
  <c r="X49" i="14"/>
  <c r="W49" i="14" s="1"/>
  <c r="X46" i="14"/>
  <c r="X50" i="14"/>
  <c r="W50" i="14" s="1"/>
  <c r="X47" i="14"/>
  <c r="AA41" i="14"/>
  <c r="X45" i="14"/>
  <c r="W45" i="14" s="1"/>
  <c r="AB45" i="14"/>
  <c r="AB46" i="14"/>
  <c r="AB30" i="14"/>
  <c r="W46" i="14"/>
  <c r="S46" i="14"/>
  <c r="AB82" i="14"/>
  <c r="P55" i="14"/>
  <c r="P101" i="14"/>
  <c r="P103" i="14" s="1"/>
  <c r="X44" i="14"/>
  <c r="W44" i="14" s="1"/>
  <c r="L7" i="14"/>
  <c r="AA82" i="14"/>
  <c r="O53" i="14"/>
  <c r="S45" i="14"/>
  <c r="X55" i="13"/>
  <c r="X59" i="13"/>
  <c r="W59" i="13" s="1"/>
  <c r="X56" i="13"/>
  <c r="W56" i="13" s="1"/>
  <c r="X60" i="13"/>
  <c r="X57" i="13"/>
  <c r="AA51" i="13"/>
  <c r="AB94" i="13"/>
  <c r="AB60" i="13"/>
  <c r="AB57" i="13"/>
  <c r="AB55" i="13"/>
  <c r="AB59" i="13"/>
  <c r="AB56" i="13"/>
  <c r="AB76" i="13"/>
  <c r="AA76" i="13" s="1"/>
  <c r="S57" i="13"/>
  <c r="X54" i="13"/>
  <c r="W54" i="13" s="1"/>
  <c r="S59" i="13"/>
  <c r="W51" i="13"/>
  <c r="T63" i="13"/>
  <c r="S54" i="13"/>
  <c r="K55" i="12"/>
  <c r="L92" i="12"/>
  <c r="K92" i="12" s="1"/>
  <c r="AB41" i="12"/>
  <c r="AB50" i="12" s="1"/>
  <c r="S49" i="12"/>
  <c r="AA33" i="12"/>
  <c r="S47" i="12"/>
  <c r="AA82" i="12"/>
  <c r="X49" i="12"/>
  <c r="X46" i="12"/>
  <c r="W46" i="12" s="1"/>
  <c r="X50" i="12"/>
  <c r="X47" i="12"/>
  <c r="X45" i="12"/>
  <c r="P55" i="12"/>
  <c r="H105" i="12"/>
  <c r="H94" i="12"/>
  <c r="G94" i="12" s="1"/>
  <c r="X44" i="12"/>
  <c r="AA30" i="12"/>
  <c r="T53" i="12"/>
  <c r="W44" i="12"/>
  <c r="AB82" i="12"/>
  <c r="AB66" i="12"/>
  <c r="X50" i="11"/>
  <c r="W50" i="11" s="1"/>
  <c r="K55" i="10"/>
  <c r="X46" i="11"/>
  <c r="W46" i="11" s="1"/>
  <c r="X45" i="11"/>
  <c r="W45" i="11" s="1"/>
  <c r="AB41" i="11"/>
  <c r="L85" i="11"/>
  <c r="S50" i="11"/>
  <c r="AB82" i="11"/>
  <c r="AA82" i="11" s="1"/>
  <c r="AB30" i="11"/>
  <c r="X47" i="11"/>
  <c r="W47" i="11" s="1"/>
  <c r="H98" i="11"/>
  <c r="G85" i="11"/>
  <c r="H87" i="11"/>
  <c r="G87" i="11" s="1"/>
  <c r="P55" i="11"/>
  <c r="O55" i="11" s="1"/>
  <c r="P95" i="11"/>
  <c r="P97" i="11" s="1"/>
  <c r="T53" i="11"/>
  <c r="S49" i="11"/>
  <c r="K55" i="11"/>
  <c r="X44" i="11"/>
  <c r="W44" i="11" s="1"/>
  <c r="O53" i="11"/>
  <c r="X49" i="11"/>
  <c r="W49" i="11" s="1"/>
  <c r="S44" i="11"/>
  <c r="AB82" i="10"/>
  <c r="AA82" i="10" s="1"/>
  <c r="H98" i="9"/>
  <c r="S50" i="10"/>
  <c r="S47" i="10"/>
  <c r="X49" i="10"/>
  <c r="X46" i="10"/>
  <c r="AA46" i="10" s="1"/>
  <c r="X50" i="10"/>
  <c r="W50" i="10" s="1"/>
  <c r="X47" i="10"/>
  <c r="AA41" i="10"/>
  <c r="X45" i="10"/>
  <c r="AA45" i="10" s="1"/>
  <c r="X44" i="10"/>
  <c r="W44" i="10" s="1"/>
  <c r="O55" i="10"/>
  <c r="P95" i="10"/>
  <c r="P97" i="10" s="1"/>
  <c r="AB30" i="10"/>
  <c r="AB44" i="10" s="1"/>
  <c r="L98" i="10"/>
  <c r="L87" i="10"/>
  <c r="H7" i="10"/>
  <c r="H98" i="10"/>
  <c r="K85" i="10"/>
  <c r="H87" i="10"/>
  <c r="AB41" i="10"/>
  <c r="T53" i="10"/>
  <c r="S53" i="10" s="1"/>
  <c r="AB66" i="10"/>
  <c r="AA66" i="10" s="1"/>
  <c r="AB15" i="9"/>
  <c r="AB96" i="9"/>
  <c r="H89" i="9"/>
  <c r="W66" i="9"/>
  <c r="K15" i="9"/>
  <c r="G15" i="9"/>
  <c r="S13" i="9"/>
  <c r="S15" i="9"/>
  <c r="O15" i="9"/>
  <c r="T53" i="9"/>
  <c r="T95" i="9" s="1"/>
  <c r="T97" i="9" s="1"/>
  <c r="AB46" i="9"/>
  <c r="AB50" i="9"/>
  <c r="AB49" i="9"/>
  <c r="AB47" i="9"/>
  <c r="AB45" i="9"/>
  <c r="X13" i="9"/>
  <c r="AA11" i="9"/>
  <c r="P55" i="9"/>
  <c r="P85" i="9" s="1"/>
  <c r="P87" i="9" s="1"/>
  <c r="S53" i="9"/>
  <c r="K85" i="9"/>
  <c r="AA44" i="9"/>
  <c r="AB82" i="9"/>
  <c r="AB66" i="9"/>
  <c r="AA66" i="9" s="1"/>
  <c r="X46" i="9"/>
  <c r="AA46" i="9" s="1"/>
  <c r="X50" i="9"/>
  <c r="AA50" i="9" s="1"/>
  <c r="X49" i="9"/>
  <c r="AA49" i="9" s="1"/>
  <c r="X47" i="9"/>
  <c r="AA47" i="9" s="1"/>
  <c r="X45" i="9"/>
  <c r="AA45" i="9" s="1"/>
  <c r="AA41" i="9"/>
  <c r="K52" i="2"/>
  <c r="K85" i="11" l="1"/>
  <c r="M85" i="11"/>
  <c r="H10" i="27"/>
  <c r="X55" i="39"/>
  <c r="X95" i="39"/>
  <c r="X97" i="39" s="1"/>
  <c r="AA53" i="39"/>
  <c r="X55" i="40"/>
  <c r="AA53" i="40"/>
  <c r="X95" i="40"/>
  <c r="X97" i="40" s="1"/>
  <c r="AB55" i="40"/>
  <c r="AB85" i="40" s="1"/>
  <c r="AB95" i="40"/>
  <c r="AB97" i="40" s="1"/>
  <c r="AB55" i="39"/>
  <c r="AB85" i="39" s="1"/>
  <c r="AB95" i="39"/>
  <c r="AB97" i="39" s="1"/>
  <c r="G71" i="37"/>
  <c r="G63" i="37"/>
  <c r="G47" i="37"/>
  <c r="G31" i="37"/>
  <c r="G15" i="37"/>
  <c r="G39" i="37"/>
  <c r="AA34" i="33"/>
  <c r="P114" i="13"/>
  <c r="O63" i="13"/>
  <c r="P65" i="13"/>
  <c r="P16" i="13" s="1"/>
  <c r="AB44" i="14"/>
  <c r="AA44" i="14" s="1"/>
  <c r="AB44" i="11"/>
  <c r="AA44" i="11" s="1"/>
  <c r="W55" i="30"/>
  <c r="X57" i="30"/>
  <c r="X100" i="30"/>
  <c r="X102" i="30" s="1"/>
  <c r="W43" i="33"/>
  <c r="X45" i="33"/>
  <c r="W45" i="33" s="1"/>
  <c r="X94" i="33"/>
  <c r="X96" i="33" s="1"/>
  <c r="AA43" i="33"/>
  <c r="W91" i="31"/>
  <c r="X93" i="31"/>
  <c r="AA91" i="31"/>
  <c r="AB93" i="31"/>
  <c r="AB169" i="31" s="1"/>
  <c r="AB171" i="31" s="1"/>
  <c r="W55" i="34"/>
  <c r="X57" i="34"/>
  <c r="X100" i="34"/>
  <c r="X102" i="34" s="1"/>
  <c r="AA46" i="30"/>
  <c r="AA55" i="32"/>
  <c r="AB102" i="32"/>
  <c r="AB104" i="32" s="1"/>
  <c r="AB57" i="32"/>
  <c r="AB92" i="32" s="1"/>
  <c r="AA46" i="34"/>
  <c r="W55" i="32"/>
  <c r="X102" i="32"/>
  <c r="X104" i="32" s="1"/>
  <c r="X57" i="32"/>
  <c r="AA82" i="31"/>
  <c r="AB45" i="33"/>
  <c r="AB84" i="33" s="1"/>
  <c r="AB86" i="33" s="1"/>
  <c r="AB94" i="33"/>
  <c r="AB96" i="33" s="1"/>
  <c r="AA55" i="30"/>
  <c r="AB57" i="30"/>
  <c r="AB90" i="30" s="1"/>
  <c r="AB100" i="30"/>
  <c r="AB102" i="30" s="1"/>
  <c r="AA55" i="34"/>
  <c r="AB57" i="34"/>
  <c r="AB90" i="34" s="1"/>
  <c r="AB100" i="34"/>
  <c r="AB102" i="34" s="1"/>
  <c r="G35" i="36"/>
  <c r="G72" i="36" s="1"/>
  <c r="G79" i="36" s="1"/>
  <c r="G9" i="36"/>
  <c r="F79" i="36"/>
  <c r="AB15" i="12"/>
  <c r="AA15" i="12" s="1"/>
  <c r="X103" i="12"/>
  <c r="AA13" i="12"/>
  <c r="S94" i="32"/>
  <c r="P96" i="32"/>
  <c r="Q96" i="32" s="1"/>
  <c r="O86" i="33"/>
  <c r="P88" i="33"/>
  <c r="Q88" i="33" s="1"/>
  <c r="S86" i="33"/>
  <c r="AB15" i="11"/>
  <c r="AA15" i="11" s="1"/>
  <c r="O92" i="30"/>
  <c r="P94" i="30"/>
  <c r="Q94" i="30" s="1"/>
  <c r="S92" i="30"/>
  <c r="AA13" i="11"/>
  <c r="X96" i="11"/>
  <c r="P10" i="13"/>
  <c r="L14" i="13"/>
  <c r="K14" i="13" s="1"/>
  <c r="AA53" i="24"/>
  <c r="X95" i="24"/>
  <c r="X97" i="24" s="1"/>
  <c r="X55" i="24"/>
  <c r="X55" i="17"/>
  <c r="AA53" i="17"/>
  <c r="X95" i="17"/>
  <c r="X97" i="17" s="1"/>
  <c r="P11" i="13"/>
  <c r="O11" i="13" s="1"/>
  <c r="AB55" i="21"/>
  <c r="AB85" i="21" s="1"/>
  <c r="AB95" i="21"/>
  <c r="AB97" i="21" s="1"/>
  <c r="AB55" i="20"/>
  <c r="AB81" i="20" s="1"/>
  <c r="AB91" i="20"/>
  <c r="AB93" i="20" s="1"/>
  <c r="S11" i="15"/>
  <c r="T13" i="15"/>
  <c r="T15" i="15" s="1"/>
  <c r="W11" i="15"/>
  <c r="W53" i="15"/>
  <c r="X55" i="15"/>
  <c r="X95" i="15"/>
  <c r="X97" i="15" s="1"/>
  <c r="G14" i="13"/>
  <c r="X91" i="20"/>
  <c r="X93" i="20" s="1"/>
  <c r="X94" i="20" s="1"/>
  <c r="X55" i="20"/>
  <c r="AA55" i="20" s="1"/>
  <c r="AA53" i="20"/>
  <c r="AA53" i="19"/>
  <c r="X95" i="19"/>
  <c r="X97" i="19" s="1"/>
  <c r="X55" i="19"/>
  <c r="AB55" i="18"/>
  <c r="AB85" i="18" s="1"/>
  <c r="AB95" i="18"/>
  <c r="AB97" i="18" s="1"/>
  <c r="AB55" i="25"/>
  <c r="AB99" i="25" s="1"/>
  <c r="AB109" i="25"/>
  <c r="AB111" i="25" s="1"/>
  <c r="K10" i="13"/>
  <c r="K11" i="13"/>
  <c r="AB55" i="17"/>
  <c r="AB85" i="17" s="1"/>
  <c r="AB87" i="17" s="1"/>
  <c r="AB95" i="17"/>
  <c r="AB97" i="17" s="1"/>
  <c r="AB55" i="24"/>
  <c r="AB85" i="24" s="1"/>
  <c r="AB95" i="24"/>
  <c r="AB97" i="24" s="1"/>
  <c r="X109" i="25"/>
  <c r="X111" i="25" s="1"/>
  <c r="X55" i="25"/>
  <c r="AA53" i="25"/>
  <c r="X95" i="18"/>
  <c r="X97" i="18" s="1"/>
  <c r="X55" i="18"/>
  <c r="AA53" i="18"/>
  <c r="G11" i="15"/>
  <c r="K11" i="15"/>
  <c r="X108" i="23"/>
  <c r="X55" i="23"/>
  <c r="W53" i="23"/>
  <c r="AA53" i="23"/>
  <c r="X55" i="21"/>
  <c r="X95" i="21"/>
  <c r="X97" i="21" s="1"/>
  <c r="AA53" i="21"/>
  <c r="AA53" i="15"/>
  <c r="AB95" i="15"/>
  <c r="AB55" i="15"/>
  <c r="AB55" i="19"/>
  <c r="AB85" i="19" s="1"/>
  <c r="AB87" i="19" s="1"/>
  <c r="AB95" i="19"/>
  <c r="AB97" i="19" s="1"/>
  <c r="AB55" i="23"/>
  <c r="AB13" i="23" s="1"/>
  <c r="AB108" i="23"/>
  <c r="K16" i="13"/>
  <c r="H18" i="13"/>
  <c r="H115" i="13"/>
  <c r="H116" i="13" s="1"/>
  <c r="H117" i="13" s="1"/>
  <c r="L115" i="13"/>
  <c r="L116" i="13" s="1"/>
  <c r="L117" i="13" s="1"/>
  <c r="S63" i="13"/>
  <c r="T114" i="13"/>
  <c r="AA94" i="13"/>
  <c r="S53" i="12"/>
  <c r="T102" i="12"/>
  <c r="T104" i="12" s="1"/>
  <c r="L105" i="12"/>
  <c r="K104" i="13"/>
  <c r="H106" i="13"/>
  <c r="AA57" i="13"/>
  <c r="AB63" i="13"/>
  <c r="AB65" i="13" s="1"/>
  <c r="AA55" i="13"/>
  <c r="AA30" i="14"/>
  <c r="AB50" i="14"/>
  <c r="AA50" i="14" s="1"/>
  <c r="AA45" i="14"/>
  <c r="AA46" i="14"/>
  <c r="X53" i="14"/>
  <c r="W53" i="14" s="1"/>
  <c r="P91" i="14"/>
  <c r="AB49" i="14"/>
  <c r="AA49" i="14" s="1"/>
  <c r="W47" i="14"/>
  <c r="L104" i="14"/>
  <c r="L93" i="14"/>
  <c r="K91" i="14"/>
  <c r="AB47" i="14"/>
  <c r="AA47" i="14" s="1"/>
  <c r="O55" i="14"/>
  <c r="T55" i="14"/>
  <c r="T101" i="14"/>
  <c r="T103" i="14" s="1"/>
  <c r="W55" i="13"/>
  <c r="AA54" i="13"/>
  <c r="X63" i="13"/>
  <c r="AA56" i="13"/>
  <c r="W57" i="13"/>
  <c r="T65" i="13"/>
  <c r="AA59" i="13"/>
  <c r="AA60" i="13"/>
  <c r="W60" i="13"/>
  <c r="AB46" i="12"/>
  <c r="AA46" i="12" s="1"/>
  <c r="O55" i="12"/>
  <c r="P92" i="12"/>
  <c r="O92" i="12" s="1"/>
  <c r="AB49" i="12"/>
  <c r="AA49" i="12" s="1"/>
  <c r="AA50" i="12"/>
  <c r="AB47" i="12"/>
  <c r="AA47" i="12" s="1"/>
  <c r="AB45" i="12"/>
  <c r="AA45" i="12" s="1"/>
  <c r="AA41" i="12"/>
  <c r="W50" i="12"/>
  <c r="W47" i="12"/>
  <c r="W45" i="12"/>
  <c r="W49" i="12"/>
  <c r="X53" i="12"/>
  <c r="AA44" i="12"/>
  <c r="H96" i="12"/>
  <c r="G96" i="12" s="1"/>
  <c r="L94" i="12"/>
  <c r="T55" i="12"/>
  <c r="AB47" i="11"/>
  <c r="AA47" i="11" s="1"/>
  <c r="AA41" i="11"/>
  <c r="AB45" i="11"/>
  <c r="AA45" i="11" s="1"/>
  <c r="AB46" i="11"/>
  <c r="AA46" i="11" s="1"/>
  <c r="AB50" i="11"/>
  <c r="AA50" i="11" s="1"/>
  <c r="AA30" i="11"/>
  <c r="X53" i="11"/>
  <c r="T55" i="11"/>
  <c r="S55" i="11" s="1"/>
  <c r="T95" i="11"/>
  <c r="T97" i="11" s="1"/>
  <c r="L98" i="11"/>
  <c r="L87" i="11"/>
  <c r="K87" i="11" s="1"/>
  <c r="S53" i="11"/>
  <c r="H89" i="11"/>
  <c r="G89" i="11" s="1"/>
  <c r="AB49" i="11"/>
  <c r="P85" i="11"/>
  <c r="Q85" i="11" s="1"/>
  <c r="H89" i="10"/>
  <c r="G89" i="10" s="1"/>
  <c r="W49" i="10"/>
  <c r="AA30" i="10"/>
  <c r="W47" i="10"/>
  <c r="K87" i="10"/>
  <c r="G87" i="10"/>
  <c r="P85" i="10"/>
  <c r="O85" i="10" s="1"/>
  <c r="T55" i="10"/>
  <c r="S55" i="10" s="1"/>
  <c r="T95" i="10"/>
  <c r="T97" i="10" s="1"/>
  <c r="AA44" i="10"/>
  <c r="X53" i="10"/>
  <c r="W53" i="10" s="1"/>
  <c r="AB45" i="10"/>
  <c r="AB49" i="10"/>
  <c r="AA49" i="10" s="1"/>
  <c r="AB46" i="10"/>
  <c r="AB50" i="10"/>
  <c r="AA50" i="10" s="1"/>
  <c r="AB47" i="10"/>
  <c r="AA47" i="10" s="1"/>
  <c r="AA13" i="9"/>
  <c r="X96" i="9"/>
  <c r="AA82" i="9"/>
  <c r="P98" i="9"/>
  <c r="X15" i="9"/>
  <c r="AA15" i="9" s="1"/>
  <c r="W13" i="9"/>
  <c r="K87" i="9"/>
  <c r="G87" i="9"/>
  <c r="X53" i="9"/>
  <c r="X95" i="9" s="1"/>
  <c r="AB53" i="9"/>
  <c r="AB55" i="9" s="1"/>
  <c r="AB85" i="9" s="1"/>
  <c r="AB87" i="9" s="1"/>
  <c r="G89" i="9"/>
  <c r="S55" i="9"/>
  <c r="O85" i="9"/>
  <c r="W53" i="9"/>
  <c r="T55" i="9"/>
  <c r="T85" i="9" s="1"/>
  <c r="T87" i="9" s="1"/>
  <c r="C28" i="5"/>
  <c r="AF70" i="5"/>
  <c r="D70" i="3" s="1"/>
  <c r="H70" i="3" s="1"/>
  <c r="L70" i="3" s="1"/>
  <c r="P70" i="3" s="1"/>
  <c r="AF71" i="5"/>
  <c r="H71" i="3" s="1"/>
  <c r="L71" i="3" s="1"/>
  <c r="P71" i="3" s="1"/>
  <c r="AF73" i="5"/>
  <c r="L73" i="3" s="1"/>
  <c r="P73" i="3" s="1"/>
  <c r="AF74" i="5"/>
  <c r="H74" i="3" s="1"/>
  <c r="L74" i="3" s="1"/>
  <c r="P74" i="3" s="1"/>
  <c r="AF75" i="5"/>
  <c r="P75" i="3" s="1"/>
  <c r="AF76" i="5"/>
  <c r="L76" i="3" s="1"/>
  <c r="P76" i="3" s="1"/>
  <c r="AF77" i="5"/>
  <c r="P77" i="3" s="1"/>
  <c r="AF78" i="5"/>
  <c r="P78" i="3" s="1"/>
  <c r="AF79" i="5"/>
  <c r="P79" i="3" s="1"/>
  <c r="AF80" i="5"/>
  <c r="L80" i="3" s="1"/>
  <c r="P80" i="3" s="1"/>
  <c r="AF81" i="5"/>
  <c r="AF69" i="5"/>
  <c r="AF60" i="5"/>
  <c r="L60" i="3" s="1"/>
  <c r="P60" i="3" s="1"/>
  <c r="AF61" i="5"/>
  <c r="L61" i="3" s="1"/>
  <c r="P61" i="3" s="1"/>
  <c r="AF63" i="5"/>
  <c r="AF65" i="5"/>
  <c r="D65" i="3" s="1"/>
  <c r="AF59" i="5"/>
  <c r="AF48" i="5"/>
  <c r="F41" i="27"/>
  <c r="F41" i="28" s="1"/>
  <c r="N41" i="28" s="1"/>
  <c r="AF34" i="5"/>
  <c r="AF35" i="5"/>
  <c r="AF36" i="5"/>
  <c r="L36" i="3" s="1"/>
  <c r="P36" i="3" s="1"/>
  <c r="AF37" i="5"/>
  <c r="P37" i="3" s="1"/>
  <c r="AF38" i="5"/>
  <c r="AF39" i="5"/>
  <c r="AF27" i="5"/>
  <c r="AF22" i="5"/>
  <c r="L23" i="3" s="1"/>
  <c r="P23" i="3" s="1"/>
  <c r="AF23" i="5"/>
  <c r="L24" i="3" s="1"/>
  <c r="P24" i="3" s="1"/>
  <c r="AF24" i="5"/>
  <c r="AF25" i="5"/>
  <c r="P26" i="3" s="1"/>
  <c r="AF26" i="5"/>
  <c r="AF28" i="5"/>
  <c r="O30" i="5"/>
  <c r="O64" i="5"/>
  <c r="K21" i="5"/>
  <c r="K30" i="5" s="1"/>
  <c r="K64" i="5"/>
  <c r="K62" i="5"/>
  <c r="G72" i="5"/>
  <c r="AF72" i="5" s="1"/>
  <c r="P72" i="3" s="1"/>
  <c r="G33" i="5"/>
  <c r="AF33" i="5" s="1"/>
  <c r="G64" i="5"/>
  <c r="G62" i="5"/>
  <c r="AF62" i="5" s="1"/>
  <c r="Q64" i="5"/>
  <c r="Q62" i="5"/>
  <c r="Q21" i="5"/>
  <c r="AC28" i="4"/>
  <c r="Y28" i="4"/>
  <c r="U28" i="4"/>
  <c r="Q28" i="4"/>
  <c r="M28" i="4"/>
  <c r="L28" i="4"/>
  <c r="O28" i="4" s="1"/>
  <c r="K28" i="4"/>
  <c r="I28" i="4"/>
  <c r="H28" i="4"/>
  <c r="G28" i="4"/>
  <c r="D29" i="6"/>
  <c r="AD26" i="5"/>
  <c r="AE26" i="5"/>
  <c r="AD27" i="5"/>
  <c r="AE27" i="5"/>
  <c r="AD28" i="5"/>
  <c r="AE28" i="5"/>
  <c r="AA30" i="5"/>
  <c r="Y30" i="5"/>
  <c r="W30" i="5"/>
  <c r="U30" i="5"/>
  <c r="S30" i="5"/>
  <c r="Q30" i="5"/>
  <c r="M30" i="5"/>
  <c r="I30" i="5"/>
  <c r="G30" i="5"/>
  <c r="E30" i="5"/>
  <c r="C30" i="5"/>
  <c r="C136" i="5"/>
  <c r="C135" i="5"/>
  <c r="C134" i="5"/>
  <c r="C133" i="5"/>
  <c r="C44" i="5" s="1"/>
  <c r="C131" i="5"/>
  <c r="H10" i="28" l="1"/>
  <c r="P10" i="28" s="1"/>
  <c r="AA55" i="40"/>
  <c r="X85" i="40"/>
  <c r="AB87" i="40"/>
  <c r="AB98" i="40"/>
  <c r="AB87" i="39"/>
  <c r="AB98" i="39"/>
  <c r="X85" i="39"/>
  <c r="AA55" i="39"/>
  <c r="O16" i="13"/>
  <c r="O65" i="13"/>
  <c r="H35" i="36"/>
  <c r="I10" i="27"/>
  <c r="AF21" i="5"/>
  <c r="L22" i="3" s="1"/>
  <c r="P22" i="3" s="1"/>
  <c r="AF64" i="5"/>
  <c r="L18" i="13"/>
  <c r="K18" i="13" s="1"/>
  <c r="L106" i="13"/>
  <c r="K106" i="13" s="1"/>
  <c r="AB97" i="33"/>
  <c r="AB103" i="34"/>
  <c r="AB92" i="34"/>
  <c r="W57" i="32"/>
  <c r="X92" i="32"/>
  <c r="AA57" i="32"/>
  <c r="AB94" i="32"/>
  <c r="AB105" i="32"/>
  <c r="W57" i="34"/>
  <c r="AA57" i="34"/>
  <c r="X90" i="34"/>
  <c r="W57" i="30"/>
  <c r="X90" i="30"/>
  <c r="AA57" i="30"/>
  <c r="AB103" i="30"/>
  <c r="AB92" i="30"/>
  <c r="W93" i="31"/>
  <c r="AA93" i="31"/>
  <c r="X169" i="31"/>
  <c r="AA45" i="33"/>
  <c r="X84" i="33"/>
  <c r="T11" i="13"/>
  <c r="H36" i="36"/>
  <c r="O10" i="13"/>
  <c r="O94" i="30"/>
  <c r="T7" i="30"/>
  <c r="T94" i="30" s="1"/>
  <c r="O88" i="33"/>
  <c r="T7" i="33"/>
  <c r="T88" i="33" s="1"/>
  <c r="AB98" i="17"/>
  <c r="T7" i="32"/>
  <c r="T96" i="32" s="1"/>
  <c r="S96" i="32" s="1"/>
  <c r="O96" i="32"/>
  <c r="P28" i="4"/>
  <c r="T28" i="4" s="1"/>
  <c r="F37" i="27"/>
  <c r="F37" i="28" s="1"/>
  <c r="N37" i="28" s="1"/>
  <c r="AB98" i="19"/>
  <c r="G13" i="15"/>
  <c r="AB13" i="15" s="1"/>
  <c r="H96" i="15"/>
  <c r="H97" i="15" s="1"/>
  <c r="K13" i="15"/>
  <c r="H85" i="15"/>
  <c r="AB87" i="24"/>
  <c r="AB98" i="24"/>
  <c r="AB98" i="18"/>
  <c r="AB87" i="18"/>
  <c r="AB98" i="21"/>
  <c r="AB87" i="21"/>
  <c r="X99" i="25"/>
  <c r="W99" i="25" s="1"/>
  <c r="AA55" i="25"/>
  <c r="W55" i="19"/>
  <c r="X85" i="19"/>
  <c r="AA55" i="19"/>
  <c r="S15" i="15"/>
  <c r="W15" i="15"/>
  <c r="X85" i="17"/>
  <c r="AA55" i="17"/>
  <c r="AB85" i="15"/>
  <c r="X13" i="23"/>
  <c r="W55" i="23"/>
  <c r="AA55" i="23"/>
  <c r="X85" i="18"/>
  <c r="AA55" i="18"/>
  <c r="AB112" i="25"/>
  <c r="AB101" i="25"/>
  <c r="W55" i="15"/>
  <c r="X85" i="15"/>
  <c r="AA55" i="15"/>
  <c r="AB83" i="20"/>
  <c r="AB85" i="20" s="1"/>
  <c r="AA85" i="20" s="1"/>
  <c r="AB94" i="20"/>
  <c r="X85" i="24"/>
  <c r="AA55" i="24"/>
  <c r="AB98" i="23"/>
  <c r="AB10" i="23" s="1"/>
  <c r="AB11" i="23" s="1"/>
  <c r="AB109" i="23"/>
  <c r="AB110" i="23" s="1"/>
  <c r="AA55" i="21"/>
  <c r="X85" i="21"/>
  <c r="H15" i="15"/>
  <c r="S13" i="15"/>
  <c r="W13" i="15"/>
  <c r="T96" i="15"/>
  <c r="T97" i="15" s="1"/>
  <c r="T85" i="15"/>
  <c r="T10" i="13"/>
  <c r="P14" i="13"/>
  <c r="AB114" i="13"/>
  <c r="S65" i="13"/>
  <c r="T16" i="13"/>
  <c r="W63" i="13"/>
  <c r="X114" i="13"/>
  <c r="AB16" i="13"/>
  <c r="W53" i="12"/>
  <c r="X102" i="12"/>
  <c r="X104" i="12" s="1"/>
  <c r="P105" i="12"/>
  <c r="AB53" i="14"/>
  <c r="AB55" i="14" s="1"/>
  <c r="AB91" i="14" s="1"/>
  <c r="K93" i="14"/>
  <c r="L95" i="14"/>
  <c r="K95" i="14" s="1"/>
  <c r="X55" i="14"/>
  <c r="W55" i="14" s="1"/>
  <c r="X101" i="14"/>
  <c r="X103" i="14" s="1"/>
  <c r="T91" i="14"/>
  <c r="P104" i="14"/>
  <c r="P93" i="14"/>
  <c r="O93" i="14" s="1"/>
  <c r="S55" i="14"/>
  <c r="O91" i="14"/>
  <c r="X65" i="13"/>
  <c r="X16" i="13" s="1"/>
  <c r="AA63" i="13"/>
  <c r="S55" i="12"/>
  <c r="T92" i="12"/>
  <c r="S92" i="12" s="1"/>
  <c r="AB53" i="12"/>
  <c r="AB102" i="12" s="1"/>
  <c r="AB104" i="12" s="1"/>
  <c r="K94" i="12"/>
  <c r="P94" i="12"/>
  <c r="L7" i="12"/>
  <c r="L96" i="12" s="1"/>
  <c r="L100" i="12" s="1"/>
  <c r="X55" i="12"/>
  <c r="AB53" i="11"/>
  <c r="AB55" i="11" s="1"/>
  <c r="AB85" i="11" s="1"/>
  <c r="AA49" i="11"/>
  <c r="P98" i="11"/>
  <c r="P87" i="11"/>
  <c r="L7" i="11"/>
  <c r="L89" i="11" s="1"/>
  <c r="K89" i="11" s="1"/>
  <c r="O85" i="11"/>
  <c r="X55" i="11"/>
  <c r="W55" i="11" s="1"/>
  <c r="X95" i="11"/>
  <c r="X97" i="11" s="1"/>
  <c r="W53" i="11"/>
  <c r="T85" i="11"/>
  <c r="S85" i="11" s="1"/>
  <c r="L7" i="10"/>
  <c r="L89" i="10" s="1"/>
  <c r="K89" i="10" s="1"/>
  <c r="AB95" i="9"/>
  <c r="AB97" i="9" s="1"/>
  <c r="AB98" i="9" s="1"/>
  <c r="AB53" i="10"/>
  <c r="AB95" i="10" s="1"/>
  <c r="AB97" i="10" s="1"/>
  <c r="P98" i="10"/>
  <c r="P87" i="10"/>
  <c r="X55" i="10"/>
  <c r="W55" i="10" s="1"/>
  <c r="X95" i="10"/>
  <c r="X97" i="10" s="1"/>
  <c r="T85" i="10"/>
  <c r="S85" i="10" s="1"/>
  <c r="W15" i="9"/>
  <c r="X97" i="9"/>
  <c r="T98" i="9"/>
  <c r="AA53" i="9"/>
  <c r="X55" i="9"/>
  <c r="X85" i="9" s="1"/>
  <c r="X87" i="9" s="1"/>
  <c r="W55" i="9"/>
  <c r="S85" i="9"/>
  <c r="L7" i="9"/>
  <c r="AF41" i="5"/>
  <c r="AF82" i="5"/>
  <c r="W28" i="4"/>
  <c r="X28" i="4"/>
  <c r="S28" i="4"/>
  <c r="C137" i="5"/>
  <c r="Q149" i="5"/>
  <c r="Q148" i="5"/>
  <c r="Q147" i="5"/>
  <c r="Q146" i="5"/>
  <c r="Q145" i="5"/>
  <c r="Q142" i="5"/>
  <c r="Q141" i="5"/>
  <c r="Q49" i="5" s="1"/>
  <c r="Q140" i="5"/>
  <c r="Q139" i="5"/>
  <c r="Q44" i="5" s="1"/>
  <c r="W85" i="39" l="1"/>
  <c r="X98" i="39"/>
  <c r="AA85" i="39"/>
  <c r="X87" i="39"/>
  <c r="X98" i="40"/>
  <c r="AA85" i="40"/>
  <c r="X87" i="40"/>
  <c r="K96" i="12"/>
  <c r="P104" i="13"/>
  <c r="P106" i="13" s="1"/>
  <c r="O106" i="13" s="1"/>
  <c r="H72" i="36"/>
  <c r="H79" i="36" s="1"/>
  <c r="P115" i="13"/>
  <c r="P116" i="13" s="1"/>
  <c r="AF30" i="5"/>
  <c r="AF66" i="5"/>
  <c r="X97" i="33"/>
  <c r="W84" i="33"/>
  <c r="AA84" i="33"/>
  <c r="X86" i="33"/>
  <c r="W90" i="30"/>
  <c r="AA90" i="30"/>
  <c r="X92" i="30"/>
  <c r="X103" i="30"/>
  <c r="W92" i="32"/>
  <c r="X105" i="32"/>
  <c r="AA92" i="32"/>
  <c r="X94" i="32"/>
  <c r="W169" i="31"/>
  <c r="AA169" i="31"/>
  <c r="X171" i="31"/>
  <c r="X103" i="34"/>
  <c r="AA90" i="34"/>
  <c r="X92" i="34"/>
  <c r="W90" i="34"/>
  <c r="X7" i="32"/>
  <c r="S94" i="30"/>
  <c r="X7" i="30"/>
  <c r="S88" i="33"/>
  <c r="X7" i="33"/>
  <c r="J10" i="27"/>
  <c r="I10" i="28"/>
  <c r="Q10" i="28" s="1"/>
  <c r="AB111" i="23"/>
  <c r="W85" i="15"/>
  <c r="X98" i="15"/>
  <c r="AA85" i="15"/>
  <c r="X87" i="15"/>
  <c r="X109" i="23"/>
  <c r="X110" i="23" s="1"/>
  <c r="X98" i="23"/>
  <c r="AA13" i="23"/>
  <c r="X112" i="25"/>
  <c r="AA99" i="25"/>
  <c r="X101" i="25"/>
  <c r="O14" i="13"/>
  <c r="P18" i="13"/>
  <c r="O18" i="13" s="1"/>
  <c r="X87" i="21"/>
  <c r="X98" i="21"/>
  <c r="W85" i="21"/>
  <c r="AA85" i="21"/>
  <c r="AB100" i="23"/>
  <c r="AB15" i="23"/>
  <c r="X98" i="18"/>
  <c r="AA85" i="18"/>
  <c r="X87" i="18"/>
  <c r="AB87" i="15"/>
  <c r="W85" i="17"/>
  <c r="AA85" i="17"/>
  <c r="X98" i="17"/>
  <c r="X87" i="17"/>
  <c r="W85" i="19"/>
  <c r="AA85" i="19"/>
  <c r="X98" i="19"/>
  <c r="X87" i="19"/>
  <c r="T14" i="13"/>
  <c r="T18" i="13" s="1"/>
  <c r="AB96" i="15"/>
  <c r="AB97" i="15" s="1"/>
  <c r="AB98" i="15" s="1"/>
  <c r="AB15" i="15"/>
  <c r="S85" i="15"/>
  <c r="T98" i="15"/>
  <c r="T87" i="15"/>
  <c r="S87" i="15" s="1"/>
  <c r="G15" i="15"/>
  <c r="K15" i="15"/>
  <c r="W85" i="24"/>
  <c r="X98" i="24"/>
  <c r="AA85" i="24"/>
  <c r="X87" i="24"/>
  <c r="W87" i="24" s="1"/>
  <c r="G85" i="15"/>
  <c r="H98" i="15"/>
  <c r="K85" i="15"/>
  <c r="H87" i="15"/>
  <c r="X115" i="13"/>
  <c r="X116" i="13" s="1"/>
  <c r="AA16" i="13"/>
  <c r="AB115" i="13"/>
  <c r="AB116" i="13" s="1"/>
  <c r="T115" i="13"/>
  <c r="T116" i="13" s="1"/>
  <c r="W16" i="13"/>
  <c r="S16" i="13"/>
  <c r="T104" i="13"/>
  <c r="AB104" i="13"/>
  <c r="T105" i="12"/>
  <c r="AB101" i="14"/>
  <c r="AB103" i="14" s="1"/>
  <c r="AA53" i="14"/>
  <c r="T104" i="14"/>
  <c r="T93" i="14"/>
  <c r="S93" i="14" s="1"/>
  <c r="AA55" i="14"/>
  <c r="X91" i="14"/>
  <c r="P7" i="14"/>
  <c r="P95" i="14" s="1"/>
  <c r="O95" i="14" s="1"/>
  <c r="S91" i="14"/>
  <c r="AB104" i="14"/>
  <c r="AB93" i="14"/>
  <c r="AA65" i="13"/>
  <c r="X104" i="13"/>
  <c r="W65" i="13"/>
  <c r="W55" i="12"/>
  <c r="X92" i="12"/>
  <c r="W92" i="12" s="1"/>
  <c r="AB55" i="12"/>
  <c r="AB92" i="12" s="1"/>
  <c r="AB105" i="12" s="1"/>
  <c r="AA53" i="12"/>
  <c r="O94" i="12"/>
  <c r="T94" i="12"/>
  <c r="P7" i="12"/>
  <c r="P96" i="12" s="1"/>
  <c r="O96" i="12" s="1"/>
  <c r="AB95" i="11"/>
  <c r="AB97" i="11" s="1"/>
  <c r="AB98" i="11" s="1"/>
  <c r="AA53" i="11"/>
  <c r="AB87" i="11"/>
  <c r="O87" i="11"/>
  <c r="AA55" i="11"/>
  <c r="X85" i="11"/>
  <c r="W85" i="11" s="1"/>
  <c r="P7" i="11"/>
  <c r="P89" i="11" s="1"/>
  <c r="O89" i="11" s="1"/>
  <c r="T98" i="11"/>
  <c r="T87" i="11"/>
  <c r="S87" i="11" s="1"/>
  <c r="AB55" i="10"/>
  <c r="AB85" i="10" s="1"/>
  <c r="AB87" i="10" s="1"/>
  <c r="P7" i="10"/>
  <c r="P89" i="10" s="1"/>
  <c r="O89" i="10" s="1"/>
  <c r="AA53" i="10"/>
  <c r="O87" i="10"/>
  <c r="T98" i="10"/>
  <c r="T87" i="10"/>
  <c r="X85" i="10"/>
  <c r="W85" i="10" s="1"/>
  <c r="L89" i="9"/>
  <c r="K89" i="9" s="1"/>
  <c r="X98" i="9"/>
  <c r="O87" i="9"/>
  <c r="S87" i="9"/>
  <c r="AA55" i="9"/>
  <c r="W85" i="9"/>
  <c r="AB28" i="4"/>
  <c r="AA28" i="4"/>
  <c r="Q153" i="5"/>
  <c r="O142" i="5"/>
  <c r="O50" i="5" s="1"/>
  <c r="O141" i="5"/>
  <c r="O49" i="5" s="1"/>
  <c r="O140" i="5"/>
  <c r="O139" i="5"/>
  <c r="O44" i="5" s="1"/>
  <c r="K142" i="5"/>
  <c r="K50" i="5" s="1"/>
  <c r="K141" i="5"/>
  <c r="K49" i="5" s="1"/>
  <c r="K140" i="5"/>
  <c r="K47" i="5" s="1"/>
  <c r="K139" i="5"/>
  <c r="K44" i="5" s="1"/>
  <c r="G142" i="5"/>
  <c r="G141" i="5"/>
  <c r="G140" i="5"/>
  <c r="O149" i="5"/>
  <c r="O148" i="5"/>
  <c r="O147" i="5"/>
  <c r="O146" i="5"/>
  <c r="O145" i="5"/>
  <c r="K149" i="5"/>
  <c r="K148" i="5"/>
  <c r="K147" i="5"/>
  <c r="K146" i="5"/>
  <c r="K145" i="5"/>
  <c r="G149" i="5"/>
  <c r="G148" i="5"/>
  <c r="G147" i="5"/>
  <c r="G146" i="5"/>
  <c r="G46" i="5" s="1"/>
  <c r="G145" i="5"/>
  <c r="G45" i="5" s="1"/>
  <c r="G139" i="5"/>
  <c r="G44" i="5" s="1"/>
  <c r="M21" i="7"/>
  <c r="T68" i="6"/>
  <c r="X68" i="6" s="1"/>
  <c r="O104" i="13" l="1"/>
  <c r="AA87" i="39"/>
  <c r="X89" i="39"/>
  <c r="AA87" i="40"/>
  <c r="X89" i="40"/>
  <c r="P7" i="9"/>
  <c r="S104" i="13"/>
  <c r="P117" i="13"/>
  <c r="X94" i="30"/>
  <c r="W94" i="30" s="1"/>
  <c r="AA87" i="19"/>
  <c r="W87" i="19"/>
  <c r="X88" i="33"/>
  <c r="AB7" i="33" s="1"/>
  <c r="AB88" i="33" s="1"/>
  <c r="AA88" i="33" s="1"/>
  <c r="X96" i="32"/>
  <c r="AB7" i="32" s="1"/>
  <c r="AB96" i="32" s="1"/>
  <c r="AA96" i="32" s="1"/>
  <c r="AA171" i="31"/>
  <c r="W171" i="31"/>
  <c r="AA94" i="32"/>
  <c r="W94" i="32"/>
  <c r="AA86" i="33"/>
  <c r="W86" i="33"/>
  <c r="AA92" i="34"/>
  <c r="W92" i="34"/>
  <c r="X94" i="34"/>
  <c r="W92" i="30"/>
  <c r="AA92" i="30"/>
  <c r="W87" i="15"/>
  <c r="K10" i="27"/>
  <c r="J10" i="28"/>
  <c r="AA87" i="15"/>
  <c r="AA87" i="17"/>
  <c r="X89" i="17"/>
  <c r="AA101" i="25"/>
  <c r="W101" i="25"/>
  <c r="X103" i="25"/>
  <c r="AA98" i="23"/>
  <c r="W98" i="23"/>
  <c r="X10" i="23"/>
  <c r="H89" i="15"/>
  <c r="K87" i="15"/>
  <c r="AA87" i="24"/>
  <c r="X89" i="24"/>
  <c r="S14" i="13"/>
  <c r="AA87" i="18"/>
  <c r="X89" i="18"/>
  <c r="AA87" i="21"/>
  <c r="W87" i="21"/>
  <c r="X111" i="23"/>
  <c r="X105" i="12"/>
  <c r="T106" i="13"/>
  <c r="S106" i="13" s="1"/>
  <c r="W104" i="13"/>
  <c r="T117" i="13"/>
  <c r="AB117" i="13"/>
  <c r="S18" i="13"/>
  <c r="T7" i="14"/>
  <c r="T95" i="14" s="1"/>
  <c r="S95" i="14" s="1"/>
  <c r="X104" i="14"/>
  <c r="AA91" i="14"/>
  <c r="X93" i="14"/>
  <c r="AA93" i="14" s="1"/>
  <c r="W91" i="14"/>
  <c r="X117" i="13"/>
  <c r="AA104" i="13"/>
  <c r="AA55" i="12"/>
  <c r="AB94" i="12"/>
  <c r="S94" i="12"/>
  <c r="T7" i="12"/>
  <c r="T96" i="12" s="1"/>
  <c r="S96" i="12" s="1"/>
  <c r="AA92" i="12"/>
  <c r="X94" i="12"/>
  <c r="T7" i="11"/>
  <c r="T89" i="11" s="1"/>
  <c r="S89" i="11" s="1"/>
  <c r="X98" i="11"/>
  <c r="AA85" i="11"/>
  <c r="X87" i="11"/>
  <c r="AA87" i="11" s="1"/>
  <c r="AB98" i="10"/>
  <c r="AA55" i="10"/>
  <c r="T7" i="10"/>
  <c r="T89" i="10" s="1"/>
  <c r="S89" i="10" s="1"/>
  <c r="S87" i="10"/>
  <c r="X98" i="10"/>
  <c r="AA85" i="10"/>
  <c r="X87" i="10"/>
  <c r="AA87" i="10" s="1"/>
  <c r="P89" i="9"/>
  <c r="O89" i="9" s="1"/>
  <c r="AA85" i="9"/>
  <c r="AA87" i="9"/>
  <c r="G49" i="5"/>
  <c r="O152" i="5"/>
  <c r="O151" i="5"/>
  <c r="O131" i="5"/>
  <c r="K131" i="5"/>
  <c r="G131" i="5"/>
  <c r="W89" i="39" l="1"/>
  <c r="AB7" i="39"/>
  <c r="AB89" i="39" s="1"/>
  <c r="AA89" i="39" s="1"/>
  <c r="W89" i="40"/>
  <c r="AB7" i="40"/>
  <c r="AB89" i="40" s="1"/>
  <c r="AA89" i="40" s="1"/>
  <c r="AB7" i="30"/>
  <c r="AB94" i="30" s="1"/>
  <c r="AA94" i="30" s="1"/>
  <c r="W88" i="33"/>
  <c r="W96" i="32"/>
  <c r="AB7" i="34"/>
  <c r="AB94" i="34" s="1"/>
  <c r="AA94" i="34" s="1"/>
  <c r="W94" i="34"/>
  <c r="AB7" i="17"/>
  <c r="AB89" i="17" s="1"/>
  <c r="AA89" i="17" s="1"/>
  <c r="W89" i="17"/>
  <c r="L10" i="27"/>
  <c r="L10" i="28" s="1"/>
  <c r="K10" i="28"/>
  <c r="G89" i="15"/>
  <c r="L7" i="15"/>
  <c r="L89" i="15" s="1"/>
  <c r="AA89" i="18"/>
  <c r="AB7" i="18"/>
  <c r="W89" i="24"/>
  <c r="AB7" i="24"/>
  <c r="AB89" i="24" s="1"/>
  <c r="AA89" i="24" s="1"/>
  <c r="W103" i="25"/>
  <c r="AB7" i="25"/>
  <c r="AB103" i="25" s="1"/>
  <c r="AA103" i="25" s="1"/>
  <c r="AA10" i="23"/>
  <c r="X11" i="23"/>
  <c r="W10" i="23"/>
  <c r="X7" i="14"/>
  <c r="X95" i="14" s="1"/>
  <c r="W93" i="14"/>
  <c r="AA94" i="12"/>
  <c r="W94" i="12"/>
  <c r="X7" i="12"/>
  <c r="X96" i="12" s="1"/>
  <c r="W96" i="12" s="1"/>
  <c r="X7" i="11"/>
  <c r="X89" i="11" s="1"/>
  <c r="W87" i="11"/>
  <c r="W87" i="10"/>
  <c r="X7" i="10"/>
  <c r="X89" i="10" s="1"/>
  <c r="W89" i="10" s="1"/>
  <c r="T7" i="9"/>
  <c r="W87" i="9"/>
  <c r="O153" i="5"/>
  <c r="O155" i="5" s="1"/>
  <c r="G153" i="5"/>
  <c r="G155" i="5" s="1"/>
  <c r="K153" i="5"/>
  <c r="K155" i="5" s="1"/>
  <c r="AB15" i="17" l="1"/>
  <c r="AA15" i="17" s="1"/>
  <c r="X100" i="23"/>
  <c r="AA100" i="23" s="1"/>
  <c r="AA11" i="23"/>
  <c r="X15" i="23"/>
  <c r="W11" i="23"/>
  <c r="AB89" i="18"/>
  <c r="AB15" i="18"/>
  <c r="K89" i="15"/>
  <c r="P7" i="15"/>
  <c r="P89" i="15" s="1"/>
  <c r="AB7" i="14"/>
  <c r="AB95" i="14" s="1"/>
  <c r="AA95" i="14" s="1"/>
  <c r="W95" i="14"/>
  <c r="AB7" i="12"/>
  <c r="AB96" i="12" s="1"/>
  <c r="AA96" i="12" s="1"/>
  <c r="AB7" i="11"/>
  <c r="AB89" i="11" s="1"/>
  <c r="AA89" i="11" s="1"/>
  <c r="W89" i="11"/>
  <c r="AB7" i="10"/>
  <c r="AB89" i="10" s="1"/>
  <c r="AA89" i="10" s="1"/>
  <c r="T89" i="9"/>
  <c r="X7" i="9" s="1"/>
  <c r="Q131" i="5"/>
  <c r="O89" i="15" l="1"/>
  <c r="T7" i="15"/>
  <c r="T89" i="15" s="1"/>
  <c r="AA15" i="23"/>
  <c r="W15" i="23"/>
  <c r="X89" i="9"/>
  <c r="AB7" i="9" s="1"/>
  <c r="S89" i="9"/>
  <c r="Q155" i="5"/>
  <c r="S89" i="15" l="1"/>
  <c r="X7" i="15"/>
  <c r="X89" i="15" s="1"/>
  <c r="AB89" i="9"/>
  <c r="AA89" i="9" s="1"/>
  <c r="W89" i="9"/>
  <c r="G62" i="7"/>
  <c r="AC81" i="7"/>
  <c r="Y81" i="7"/>
  <c r="U81" i="7"/>
  <c r="Q81" i="7"/>
  <c r="M81" i="7"/>
  <c r="I81" i="7"/>
  <c r="D81" i="7"/>
  <c r="G81" i="7" s="1"/>
  <c r="AC80" i="7"/>
  <c r="Y80" i="7"/>
  <c r="U80" i="7"/>
  <c r="Q80" i="7"/>
  <c r="M80" i="7"/>
  <c r="I80" i="7"/>
  <c r="H80" i="7" s="1"/>
  <c r="G80" i="7"/>
  <c r="AC79" i="7"/>
  <c r="Y79" i="7"/>
  <c r="U79" i="7"/>
  <c r="Q79" i="7"/>
  <c r="M79" i="7"/>
  <c r="I79" i="7"/>
  <c r="H79" i="7" s="1"/>
  <c r="G79" i="7"/>
  <c r="AC78" i="7"/>
  <c r="Y78" i="7"/>
  <c r="U78" i="7"/>
  <c r="Q78" i="7"/>
  <c r="M78" i="7"/>
  <c r="I78" i="7"/>
  <c r="H78" i="7" s="1"/>
  <c r="G78" i="7"/>
  <c r="AC77" i="7"/>
  <c r="Y77" i="7"/>
  <c r="U77" i="7"/>
  <c r="Q77" i="7"/>
  <c r="M77" i="7"/>
  <c r="I77" i="7"/>
  <c r="H77" i="7" s="1"/>
  <c r="G77" i="7"/>
  <c r="AC76" i="7"/>
  <c r="Y76" i="7"/>
  <c r="U76" i="7"/>
  <c r="Q76" i="7"/>
  <c r="M76" i="7"/>
  <c r="I76" i="7"/>
  <c r="H76" i="7" s="1"/>
  <c r="G76" i="7"/>
  <c r="AC75" i="7"/>
  <c r="Y75" i="7"/>
  <c r="U75" i="7"/>
  <c r="Q75" i="7"/>
  <c r="M75" i="7"/>
  <c r="I75" i="7"/>
  <c r="H75" i="7" s="1"/>
  <c r="G75" i="7"/>
  <c r="AC74" i="7"/>
  <c r="Y74" i="7"/>
  <c r="U74" i="7"/>
  <c r="Q74" i="7"/>
  <c r="M74" i="7"/>
  <c r="I74" i="7"/>
  <c r="H74" i="7" s="1"/>
  <c r="G74" i="7"/>
  <c r="AC73" i="7"/>
  <c r="Y73" i="7"/>
  <c r="U73" i="7"/>
  <c r="Q73" i="7"/>
  <c r="M73" i="7"/>
  <c r="I73" i="7"/>
  <c r="H73" i="7" s="1"/>
  <c r="G73" i="7"/>
  <c r="AC72" i="7"/>
  <c r="Y72" i="7"/>
  <c r="U72" i="7"/>
  <c r="Q72" i="7"/>
  <c r="M72" i="7"/>
  <c r="I72" i="7"/>
  <c r="H72" i="7" s="1"/>
  <c r="G72" i="7"/>
  <c r="AC71" i="7"/>
  <c r="Y71" i="7"/>
  <c r="U71" i="7"/>
  <c r="Q71" i="7"/>
  <c r="M71" i="7"/>
  <c r="I71" i="7"/>
  <c r="H71" i="7" s="1"/>
  <c r="G71" i="7"/>
  <c r="AC70" i="7"/>
  <c r="Y70" i="7"/>
  <c r="U70" i="7"/>
  <c r="Q70" i="7"/>
  <c r="M70" i="7"/>
  <c r="I70" i="7"/>
  <c r="H70" i="7" s="1"/>
  <c r="G70" i="7"/>
  <c r="AC69" i="7"/>
  <c r="Y69" i="7"/>
  <c r="U69" i="7"/>
  <c r="Q69" i="7"/>
  <c r="M69" i="7"/>
  <c r="D66" i="7"/>
  <c r="AC65" i="7"/>
  <c r="Y65" i="7"/>
  <c r="U65" i="7"/>
  <c r="Q65" i="7"/>
  <c r="M65" i="7"/>
  <c r="I65" i="7"/>
  <c r="H65" i="7" s="1"/>
  <c r="G65" i="7"/>
  <c r="AC64" i="7"/>
  <c r="Y64" i="7"/>
  <c r="U64" i="7"/>
  <c r="Q64" i="7"/>
  <c r="M64" i="7"/>
  <c r="I64" i="7"/>
  <c r="H64" i="7" s="1"/>
  <c r="K64" i="7" s="1"/>
  <c r="G64" i="7"/>
  <c r="AC63" i="7"/>
  <c r="Y63" i="7"/>
  <c r="U63" i="7"/>
  <c r="Q63" i="7"/>
  <c r="M63" i="7"/>
  <c r="I63" i="7"/>
  <c r="H63" i="7" s="1"/>
  <c r="G63" i="7"/>
  <c r="AC62" i="7"/>
  <c r="Y62" i="7"/>
  <c r="U62" i="7"/>
  <c r="Q62" i="7"/>
  <c r="M62" i="7"/>
  <c r="AC61" i="7"/>
  <c r="Y61" i="7"/>
  <c r="U61" i="7"/>
  <c r="Q61" i="7"/>
  <c r="M61" i="7"/>
  <c r="I61" i="7"/>
  <c r="H61" i="7" s="1"/>
  <c r="G61" i="7"/>
  <c r="AC60" i="7"/>
  <c r="Y60" i="7"/>
  <c r="U60" i="7"/>
  <c r="Q60" i="7"/>
  <c r="M60" i="7"/>
  <c r="I60" i="7"/>
  <c r="H60" i="7" s="1"/>
  <c r="K60" i="7" s="1"/>
  <c r="G60" i="7"/>
  <c r="AC59" i="7"/>
  <c r="Y59" i="7"/>
  <c r="U59" i="7"/>
  <c r="Q59" i="7"/>
  <c r="M59" i="7"/>
  <c r="I59" i="7"/>
  <c r="H59" i="7" s="1"/>
  <c r="K59" i="7" s="1"/>
  <c r="G59" i="7"/>
  <c r="D53" i="7"/>
  <c r="AC50" i="7"/>
  <c r="Y50" i="7"/>
  <c r="U50" i="7"/>
  <c r="Q50" i="7"/>
  <c r="M50" i="7"/>
  <c r="I50" i="7"/>
  <c r="AC49" i="7"/>
  <c r="Y49" i="7"/>
  <c r="U49" i="7"/>
  <c r="Q49" i="7"/>
  <c r="M49" i="7"/>
  <c r="I49" i="7"/>
  <c r="AC48" i="7"/>
  <c r="Y48" i="7"/>
  <c r="U48" i="7"/>
  <c r="Q48" i="7"/>
  <c r="M48" i="7"/>
  <c r="L48" i="7" s="1"/>
  <c r="G48" i="7"/>
  <c r="AC47" i="7"/>
  <c r="Y47" i="7"/>
  <c r="U47" i="7"/>
  <c r="Q47" i="7"/>
  <c r="M47" i="7"/>
  <c r="I47" i="7"/>
  <c r="AC46" i="7"/>
  <c r="Y46" i="7"/>
  <c r="U46" i="7"/>
  <c r="Q46" i="7"/>
  <c r="M46" i="7"/>
  <c r="I46" i="7"/>
  <c r="G46" i="7"/>
  <c r="AC45" i="7"/>
  <c r="Y45" i="7"/>
  <c r="U45" i="7"/>
  <c r="Q45" i="7"/>
  <c r="M45" i="7"/>
  <c r="G45" i="7"/>
  <c r="Y44" i="7"/>
  <c r="U44" i="7"/>
  <c r="Q44" i="7"/>
  <c r="P44" i="7" s="1"/>
  <c r="M44" i="7"/>
  <c r="I44" i="7"/>
  <c r="G41" i="7"/>
  <c r="D41" i="7"/>
  <c r="AC39" i="7"/>
  <c r="Y39" i="7"/>
  <c r="U39" i="7"/>
  <c r="Q39" i="7"/>
  <c r="M39" i="7"/>
  <c r="I39" i="7"/>
  <c r="H39" i="7"/>
  <c r="L39" i="7" s="1"/>
  <c r="P39" i="7" s="1"/>
  <c r="T39" i="7" s="1"/>
  <c r="G39" i="7"/>
  <c r="AC38" i="7"/>
  <c r="Y38" i="7"/>
  <c r="U38" i="7"/>
  <c r="Q38" i="7"/>
  <c r="M38" i="7"/>
  <c r="I38" i="7"/>
  <c r="H38" i="7"/>
  <c r="L38" i="7" s="1"/>
  <c r="G38" i="7"/>
  <c r="AC37" i="7"/>
  <c r="Y37" i="7"/>
  <c r="U37" i="7"/>
  <c r="Q37" i="7"/>
  <c r="M37" i="7"/>
  <c r="I37" i="7"/>
  <c r="H37" i="7"/>
  <c r="K37" i="7" s="1"/>
  <c r="G37" i="7"/>
  <c r="AC36" i="7"/>
  <c r="Y36" i="7"/>
  <c r="U36" i="7"/>
  <c r="Q36" i="7"/>
  <c r="M36" i="7"/>
  <c r="I36" i="7"/>
  <c r="H36" i="7"/>
  <c r="L36" i="7" s="1"/>
  <c r="G36" i="7"/>
  <c r="AC35" i="7"/>
  <c r="Y35" i="7"/>
  <c r="U35" i="7"/>
  <c r="Q35" i="7"/>
  <c r="M35" i="7"/>
  <c r="L35" i="7"/>
  <c r="O35" i="7" s="1"/>
  <c r="I35" i="7"/>
  <c r="H35" i="7"/>
  <c r="K35" i="7" s="1"/>
  <c r="G35" i="7"/>
  <c r="AC34" i="7"/>
  <c r="Y34" i="7"/>
  <c r="U34" i="7"/>
  <c r="Q34" i="7"/>
  <c r="M34" i="7"/>
  <c r="I34" i="7"/>
  <c r="H34" i="7"/>
  <c r="L34" i="7" s="1"/>
  <c r="G34" i="7"/>
  <c r="AC33" i="7"/>
  <c r="Y33" i="7"/>
  <c r="U33" i="7"/>
  <c r="Q33" i="7"/>
  <c r="M33" i="7"/>
  <c r="L33" i="7"/>
  <c r="P33" i="7" s="1"/>
  <c r="K33" i="7"/>
  <c r="I33" i="7"/>
  <c r="H33" i="7"/>
  <c r="G33" i="7"/>
  <c r="D30" i="7"/>
  <c r="AC28" i="7"/>
  <c r="Y28" i="7"/>
  <c r="U28" i="7"/>
  <c r="Q28" i="7"/>
  <c r="M28" i="7"/>
  <c r="I28" i="7"/>
  <c r="H28" i="7"/>
  <c r="K28" i="7" s="1"/>
  <c r="G28" i="7"/>
  <c r="AC27" i="7"/>
  <c r="Y27" i="7"/>
  <c r="U27" i="7"/>
  <c r="Q27" i="7"/>
  <c r="M27" i="7"/>
  <c r="L27" i="7"/>
  <c r="K27" i="7"/>
  <c r="I27" i="7"/>
  <c r="H27" i="7"/>
  <c r="G27" i="7"/>
  <c r="AC26" i="7"/>
  <c r="Y26" i="7"/>
  <c r="U26" i="7"/>
  <c r="Q26" i="7"/>
  <c r="M26" i="7"/>
  <c r="I26" i="7"/>
  <c r="H26" i="7"/>
  <c r="G26" i="7"/>
  <c r="AC25" i="7"/>
  <c r="Y25" i="7"/>
  <c r="U25" i="7"/>
  <c r="Q25" i="7"/>
  <c r="M25" i="7"/>
  <c r="L25" i="7"/>
  <c r="O25" i="7" s="1"/>
  <c r="I25" i="7"/>
  <c r="H25" i="7"/>
  <c r="H30" i="7" s="1"/>
  <c r="G25" i="7"/>
  <c r="AC24" i="7"/>
  <c r="Y24" i="7"/>
  <c r="U24" i="7"/>
  <c r="Q24" i="7"/>
  <c r="M24" i="7"/>
  <c r="L24" i="7"/>
  <c r="P24" i="7" s="1"/>
  <c r="T24" i="7" s="1"/>
  <c r="K24" i="7"/>
  <c r="I24" i="7"/>
  <c r="G24" i="7"/>
  <c r="AC23" i="7"/>
  <c r="Y23" i="7"/>
  <c r="U23" i="7"/>
  <c r="T23" i="7"/>
  <c r="K23" i="7"/>
  <c r="AC21" i="7"/>
  <c r="Y21" i="7"/>
  <c r="U21" i="7"/>
  <c r="Q21" i="7"/>
  <c r="D11" i="7"/>
  <c r="AB10" i="7"/>
  <c r="X10" i="7"/>
  <c r="AA10" i="7" s="1"/>
  <c r="T10" i="7"/>
  <c r="W10" i="7" s="1"/>
  <c r="P10" i="7"/>
  <c r="K10" i="7"/>
  <c r="G10" i="7"/>
  <c r="L9" i="7"/>
  <c r="G9" i="7"/>
  <c r="L6" i="7"/>
  <c r="P6" i="7" s="1"/>
  <c r="T6" i="7" s="1"/>
  <c r="X6" i="7" s="1"/>
  <c r="AB6" i="7" s="1"/>
  <c r="H6" i="7"/>
  <c r="L10" i="7"/>
  <c r="H44" i="7" l="1"/>
  <c r="S10" i="7"/>
  <c r="H15" i="36"/>
  <c r="O10" i="7"/>
  <c r="G15" i="36"/>
  <c r="H7" i="27"/>
  <c r="H7" i="28" s="1"/>
  <c r="P7" i="28" s="1"/>
  <c r="H41" i="7"/>
  <c r="K25" i="7"/>
  <c r="L37" i="7"/>
  <c r="L41" i="7" s="1"/>
  <c r="K39" i="7"/>
  <c r="P35" i="7"/>
  <c r="T35" i="7" s="1"/>
  <c r="G14" i="36"/>
  <c r="O24" i="7"/>
  <c r="O33" i="7"/>
  <c r="O39" i="7"/>
  <c r="W89" i="15"/>
  <c r="AB7" i="15"/>
  <c r="AB89" i="15" s="1"/>
  <c r="AA89" i="15" s="1"/>
  <c r="H81" i="7"/>
  <c r="L81" i="7" s="1"/>
  <c r="P81" i="7" s="1"/>
  <c r="O23" i="7"/>
  <c r="L65" i="7"/>
  <c r="P65" i="7" s="1"/>
  <c r="P48" i="7"/>
  <c r="O48" i="7" s="1"/>
  <c r="L63" i="7"/>
  <c r="O63" i="7" s="1"/>
  <c r="L61" i="7"/>
  <c r="P61" i="7" s="1"/>
  <c r="X23" i="7"/>
  <c r="W23" i="7" s="1"/>
  <c r="W24" i="7"/>
  <c r="X24" i="7"/>
  <c r="L11" i="7"/>
  <c r="L13" i="7" s="1"/>
  <c r="P9" i="7"/>
  <c r="S24" i="7"/>
  <c r="P25" i="7"/>
  <c r="P27" i="7"/>
  <c r="O27" i="7"/>
  <c r="O34" i="7"/>
  <c r="P34" i="7"/>
  <c r="O36" i="7"/>
  <c r="P36" i="7"/>
  <c r="O38" i="7"/>
  <c r="P38" i="7"/>
  <c r="K9" i="7"/>
  <c r="H11" i="7"/>
  <c r="H96" i="7" s="1"/>
  <c r="D13" i="7"/>
  <c r="D96" i="7" s="1"/>
  <c r="L21" i="7"/>
  <c r="G21" i="7"/>
  <c r="K26" i="7"/>
  <c r="L26" i="7"/>
  <c r="T33" i="7"/>
  <c r="S33" i="7"/>
  <c r="W35" i="7"/>
  <c r="X35" i="7"/>
  <c r="W39" i="7"/>
  <c r="X39" i="7"/>
  <c r="S23" i="7"/>
  <c r="H46" i="7"/>
  <c r="K46" i="7" s="1"/>
  <c r="H45" i="7"/>
  <c r="K45" i="7" s="1"/>
  <c r="K41" i="7"/>
  <c r="D55" i="7"/>
  <c r="L28" i="7"/>
  <c r="K34" i="7"/>
  <c r="S35" i="7"/>
  <c r="K36" i="7"/>
  <c r="K38" i="7"/>
  <c r="S39" i="7"/>
  <c r="L70" i="7"/>
  <c r="K70" i="7"/>
  <c r="L74" i="7"/>
  <c r="K74" i="7"/>
  <c r="L78" i="7"/>
  <c r="K78" i="7"/>
  <c r="K48" i="7"/>
  <c r="L69" i="7"/>
  <c r="K69" i="7" s="1"/>
  <c r="G69" i="7"/>
  <c r="L73" i="7"/>
  <c r="K73" i="7"/>
  <c r="L77" i="7"/>
  <c r="K77" i="7"/>
  <c r="H66" i="7"/>
  <c r="L59" i="7"/>
  <c r="L72" i="7"/>
  <c r="K72" i="7"/>
  <c r="L76" i="7"/>
  <c r="K76" i="7"/>
  <c r="L80" i="7"/>
  <c r="K80" i="7"/>
  <c r="L71" i="7"/>
  <c r="K71" i="7"/>
  <c r="L75" i="7"/>
  <c r="K75" i="7"/>
  <c r="L79" i="7"/>
  <c r="K79" i="7"/>
  <c r="L60" i="7"/>
  <c r="L62" i="7"/>
  <c r="K62" i="7" s="1"/>
  <c r="L64" i="7"/>
  <c r="D82" i="7"/>
  <c r="K61" i="7"/>
  <c r="K63" i="7"/>
  <c r="K65" i="7"/>
  <c r="AF10" i="5"/>
  <c r="L46" i="7" l="1"/>
  <c r="O46" i="7" s="1"/>
  <c r="O41" i="7"/>
  <c r="L45" i="7"/>
  <c r="O45" i="7" s="1"/>
  <c r="O37" i="7"/>
  <c r="P37" i="7"/>
  <c r="O9" i="7"/>
  <c r="H14" i="36"/>
  <c r="P21" i="7"/>
  <c r="L30" i="7"/>
  <c r="L44" i="7" s="1"/>
  <c r="P41" i="7"/>
  <c r="K81" i="7"/>
  <c r="H82" i="7"/>
  <c r="G82" i="7" s="1"/>
  <c r="D95" i="7"/>
  <c r="D97" i="7" s="1"/>
  <c r="D85" i="7"/>
  <c r="D87" i="7" s="1"/>
  <c r="D89" i="7" s="1"/>
  <c r="H49" i="7"/>
  <c r="G49" i="7" s="1"/>
  <c r="H47" i="7"/>
  <c r="T48" i="7"/>
  <c r="S48" i="7" s="1"/>
  <c r="O65" i="7"/>
  <c r="O61" i="7"/>
  <c r="P63" i="7"/>
  <c r="S63" i="7" s="1"/>
  <c r="O81" i="7"/>
  <c r="G66" i="7"/>
  <c r="P45" i="7"/>
  <c r="S45" i="7" s="1"/>
  <c r="P46" i="7"/>
  <c r="S46" i="7" s="1"/>
  <c r="S41" i="7"/>
  <c r="P64" i="7"/>
  <c r="O64" i="7"/>
  <c r="O71" i="7"/>
  <c r="P71" i="7"/>
  <c r="S61" i="7"/>
  <c r="T61" i="7"/>
  <c r="P26" i="7"/>
  <c r="O26" i="7"/>
  <c r="P62" i="7"/>
  <c r="O62" i="7" s="1"/>
  <c r="P76" i="7"/>
  <c r="O76" i="7"/>
  <c r="O77" i="7"/>
  <c r="P77" i="7"/>
  <c r="H50" i="7"/>
  <c r="AB35" i="7"/>
  <c r="AA35" i="7"/>
  <c r="P60" i="7"/>
  <c r="O60" i="7"/>
  <c r="O75" i="7"/>
  <c r="P75" i="7"/>
  <c r="L82" i="7"/>
  <c r="P69" i="7"/>
  <c r="O69" i="7" s="1"/>
  <c r="P78" i="7"/>
  <c r="O78" i="7"/>
  <c r="P70" i="7"/>
  <c r="O70" i="7"/>
  <c r="P28" i="7"/>
  <c r="O28" i="7"/>
  <c r="G30" i="7"/>
  <c r="W33" i="7"/>
  <c r="X33" i="7"/>
  <c r="K11" i="7"/>
  <c r="T36" i="7"/>
  <c r="S36" i="7"/>
  <c r="G11" i="7"/>
  <c r="O79" i="7"/>
  <c r="P79" i="7"/>
  <c r="L66" i="7"/>
  <c r="K66" i="7" s="1"/>
  <c r="O59" i="7"/>
  <c r="P59" i="7"/>
  <c r="P74" i="7"/>
  <c r="O74" i="7"/>
  <c r="P80" i="7"/>
  <c r="O80" i="7"/>
  <c r="P72" i="7"/>
  <c r="O72" i="7"/>
  <c r="S81" i="7"/>
  <c r="T81" i="7"/>
  <c r="O73" i="7"/>
  <c r="P73" i="7"/>
  <c r="D15" i="7"/>
  <c r="K21" i="7"/>
  <c r="O21" i="7"/>
  <c r="S27" i="7"/>
  <c r="T27" i="7"/>
  <c r="T9" i="7"/>
  <c r="S9" i="7" s="1"/>
  <c r="P11" i="7"/>
  <c r="AB23" i="7"/>
  <c r="AA23" i="7" s="1"/>
  <c r="S65" i="7"/>
  <c r="T65" i="7"/>
  <c r="AB39" i="7"/>
  <c r="AA39" i="7"/>
  <c r="T38" i="7"/>
  <c r="S38" i="7"/>
  <c r="T34" i="7"/>
  <c r="S34" i="7"/>
  <c r="S25" i="7"/>
  <c r="T25" i="7"/>
  <c r="AA24" i="7"/>
  <c r="AB24" i="7"/>
  <c r="G66" i="4"/>
  <c r="O11" i="7" l="1"/>
  <c r="P13" i="7"/>
  <c r="K30" i="7"/>
  <c r="T37" i="7"/>
  <c r="S37" i="7"/>
  <c r="L15" i="7"/>
  <c r="L96" i="7"/>
  <c r="K82" i="7"/>
  <c r="D98" i="7"/>
  <c r="X48" i="7"/>
  <c r="W48" i="7" s="1"/>
  <c r="T63" i="7"/>
  <c r="X63" i="7" s="1"/>
  <c r="X25" i="7"/>
  <c r="W25" i="7"/>
  <c r="X65" i="7"/>
  <c r="W65" i="7"/>
  <c r="T79" i="7"/>
  <c r="S79" i="7"/>
  <c r="X38" i="7"/>
  <c r="W38" i="7"/>
  <c r="T73" i="7"/>
  <c r="S73" i="7"/>
  <c r="K13" i="7"/>
  <c r="S28" i="7"/>
  <c r="T28" i="7"/>
  <c r="T78" i="7"/>
  <c r="S78" i="7"/>
  <c r="T75" i="7"/>
  <c r="S75" i="7"/>
  <c r="G13" i="7"/>
  <c r="T77" i="7"/>
  <c r="S77" i="7"/>
  <c r="K44" i="7"/>
  <c r="L49" i="7"/>
  <c r="L50" i="7"/>
  <c r="K50" i="7" s="1"/>
  <c r="L47" i="7"/>
  <c r="K47" i="7" s="1"/>
  <c r="T1" i="7"/>
  <c r="X36" i="7"/>
  <c r="W36" i="7"/>
  <c r="T69" i="7"/>
  <c r="P82" i="7"/>
  <c r="T62" i="7"/>
  <c r="S62" i="7" s="1"/>
  <c r="T64" i="7"/>
  <c r="S64" i="7"/>
  <c r="X34" i="7"/>
  <c r="W34" i="7"/>
  <c r="H53" i="7"/>
  <c r="H95" i="7" s="1"/>
  <c r="H97" i="7" s="1"/>
  <c r="G44" i="7"/>
  <c r="X9" i="7"/>
  <c r="T11" i="7"/>
  <c r="S11" i="7" s="1"/>
  <c r="P30" i="7"/>
  <c r="O30" i="7" s="1"/>
  <c r="T21" i="7"/>
  <c r="S21" i="7" s="1"/>
  <c r="X81" i="7"/>
  <c r="W81" i="7"/>
  <c r="H15" i="7"/>
  <c r="K15" i="7" s="1"/>
  <c r="AB33" i="7"/>
  <c r="AA33" i="7"/>
  <c r="G47" i="7"/>
  <c r="T70" i="7"/>
  <c r="S70" i="7"/>
  <c r="T71" i="7"/>
  <c r="S71" i="7"/>
  <c r="T80" i="7"/>
  <c r="S80" i="7"/>
  <c r="T60" i="7"/>
  <c r="S60" i="7"/>
  <c r="G50" i="7"/>
  <c r="T76" i="7"/>
  <c r="S76" i="7"/>
  <c r="T26" i="7"/>
  <c r="S26" i="7"/>
  <c r="X61" i="7"/>
  <c r="W61" i="7"/>
  <c r="T74" i="7"/>
  <c r="S74" i="7"/>
  <c r="X27" i="7"/>
  <c r="W27" i="7"/>
  <c r="S59" i="7"/>
  <c r="P66" i="7"/>
  <c r="T59" i="7"/>
  <c r="T72" i="7"/>
  <c r="S72" i="7"/>
  <c r="AC80" i="6"/>
  <c r="Y80" i="6"/>
  <c r="U80" i="6"/>
  <c r="Q80" i="6"/>
  <c r="M80" i="6"/>
  <c r="I80" i="6"/>
  <c r="D80" i="6"/>
  <c r="G80" i="6" s="1"/>
  <c r="AC79" i="6"/>
  <c r="Y79" i="6"/>
  <c r="U79" i="6"/>
  <c r="Q79" i="6"/>
  <c r="M79" i="6"/>
  <c r="I79" i="6"/>
  <c r="H79" i="6" s="1"/>
  <c r="G79" i="6"/>
  <c r="AC78" i="6"/>
  <c r="Y78" i="6"/>
  <c r="U78" i="6"/>
  <c r="Q78" i="6"/>
  <c r="M78" i="6"/>
  <c r="I78" i="6"/>
  <c r="H78" i="6" s="1"/>
  <c r="G78" i="6"/>
  <c r="AC77" i="6"/>
  <c r="Y77" i="6"/>
  <c r="U77" i="6"/>
  <c r="Q77" i="6"/>
  <c r="M77" i="6"/>
  <c r="I77" i="6"/>
  <c r="H77" i="6" s="1"/>
  <c r="G77" i="6"/>
  <c r="AC76" i="6"/>
  <c r="Y76" i="6"/>
  <c r="U76" i="6"/>
  <c r="Q76" i="6"/>
  <c r="M76" i="6"/>
  <c r="I76" i="6"/>
  <c r="H76" i="6" s="1"/>
  <c r="G76" i="6"/>
  <c r="AC75" i="6"/>
  <c r="Y75" i="6"/>
  <c r="U75" i="6"/>
  <c r="Q75" i="6"/>
  <c r="M75" i="6"/>
  <c r="I75" i="6"/>
  <c r="H75" i="6" s="1"/>
  <c r="G75" i="6"/>
  <c r="AC74" i="6"/>
  <c r="Y74" i="6"/>
  <c r="U74" i="6"/>
  <c r="Q74" i="6"/>
  <c r="M74" i="6"/>
  <c r="I74" i="6"/>
  <c r="H74" i="6" s="1"/>
  <c r="G74" i="6"/>
  <c r="AC73" i="6"/>
  <c r="Y73" i="6"/>
  <c r="U73" i="6"/>
  <c r="Q73" i="6"/>
  <c r="M73" i="6"/>
  <c r="I73" i="6"/>
  <c r="H73" i="6" s="1"/>
  <c r="G73" i="6"/>
  <c r="AC72" i="6"/>
  <c r="Y72" i="6"/>
  <c r="U72" i="6"/>
  <c r="Q72" i="6"/>
  <c r="M72" i="6"/>
  <c r="I72" i="6"/>
  <c r="H72" i="6" s="1"/>
  <c r="G72" i="6"/>
  <c r="AC71" i="6"/>
  <c r="Y71" i="6"/>
  <c r="U71" i="6"/>
  <c r="Q71" i="6"/>
  <c r="M71" i="6"/>
  <c r="I71" i="6"/>
  <c r="H71" i="6" s="1"/>
  <c r="G71" i="6"/>
  <c r="AC70" i="6"/>
  <c r="Y70" i="6"/>
  <c r="U70" i="6"/>
  <c r="Q70" i="6"/>
  <c r="M70" i="6"/>
  <c r="I70" i="6"/>
  <c r="H70" i="6" s="1"/>
  <c r="G70" i="6"/>
  <c r="AC69" i="6"/>
  <c r="Y69" i="6"/>
  <c r="U69" i="6"/>
  <c r="Q69" i="6"/>
  <c r="M69" i="6"/>
  <c r="I69" i="6"/>
  <c r="H69" i="6" s="1"/>
  <c r="G69" i="6"/>
  <c r="AC68" i="6"/>
  <c r="G68" i="6"/>
  <c r="D65" i="6"/>
  <c r="G65" i="6" s="1"/>
  <c r="AC64" i="6"/>
  <c r="Y64" i="6"/>
  <c r="U64" i="6"/>
  <c r="Q64" i="6"/>
  <c r="M64" i="6"/>
  <c r="I64" i="6"/>
  <c r="H64" i="6" s="1"/>
  <c r="G64" i="6"/>
  <c r="AC63" i="6"/>
  <c r="Y63" i="6"/>
  <c r="U63" i="6"/>
  <c r="Q63" i="6"/>
  <c r="M63" i="6"/>
  <c r="I63" i="6"/>
  <c r="H63" i="6" s="1"/>
  <c r="K63" i="6" s="1"/>
  <c r="G63" i="6"/>
  <c r="AC62" i="6"/>
  <c r="Y62" i="6"/>
  <c r="U62" i="6"/>
  <c r="Q62" i="6"/>
  <c r="M62" i="6"/>
  <c r="I62" i="6"/>
  <c r="H62" i="6" s="1"/>
  <c r="G62" i="6"/>
  <c r="AC61" i="6"/>
  <c r="Y61" i="6"/>
  <c r="U61" i="6"/>
  <c r="Q61" i="6"/>
  <c r="M61" i="6"/>
  <c r="I61" i="6"/>
  <c r="H61" i="6" s="1"/>
  <c r="G61" i="6"/>
  <c r="AC60" i="6"/>
  <c r="Y60" i="6"/>
  <c r="U60" i="6"/>
  <c r="Q60" i="6"/>
  <c r="M60" i="6"/>
  <c r="I60" i="6"/>
  <c r="H60" i="6" s="1"/>
  <c r="G60" i="6"/>
  <c r="AC59" i="6"/>
  <c r="Y59" i="6"/>
  <c r="U59" i="6"/>
  <c r="Q59" i="6"/>
  <c r="M59" i="6"/>
  <c r="I59" i="6"/>
  <c r="H59" i="6" s="1"/>
  <c r="K59" i="6" s="1"/>
  <c r="G59" i="6"/>
  <c r="AC58" i="6"/>
  <c r="Y58" i="6"/>
  <c r="U58" i="6"/>
  <c r="Q58" i="6"/>
  <c r="M58" i="6"/>
  <c r="I58" i="6"/>
  <c r="H58" i="6" s="1"/>
  <c r="G58" i="6"/>
  <c r="D52" i="6"/>
  <c r="AC49" i="6"/>
  <c r="Y49" i="6"/>
  <c r="U49" i="6"/>
  <c r="Q49" i="6"/>
  <c r="M49" i="6"/>
  <c r="I49" i="6"/>
  <c r="AC48" i="6"/>
  <c r="Y48" i="6"/>
  <c r="U48" i="6"/>
  <c r="Q48" i="6"/>
  <c r="M48" i="6"/>
  <c r="I48" i="6"/>
  <c r="AC47" i="6"/>
  <c r="Y47" i="6"/>
  <c r="U47" i="6"/>
  <c r="Q47" i="6"/>
  <c r="M47" i="6"/>
  <c r="I47" i="6"/>
  <c r="G47" i="6" s="1"/>
  <c r="AC46" i="6"/>
  <c r="Y46" i="6"/>
  <c r="U46" i="6"/>
  <c r="Q46" i="6"/>
  <c r="M46" i="6"/>
  <c r="I46" i="6"/>
  <c r="AC45" i="6"/>
  <c r="Y45" i="6"/>
  <c r="U45" i="6"/>
  <c r="Q45" i="6"/>
  <c r="M45" i="6"/>
  <c r="I45" i="6"/>
  <c r="G45" i="6"/>
  <c r="AC44" i="6"/>
  <c r="Y44" i="6"/>
  <c r="U44" i="6"/>
  <c r="Q44" i="6"/>
  <c r="M44" i="6"/>
  <c r="I44" i="6"/>
  <c r="G44" i="6"/>
  <c r="U43" i="6"/>
  <c r="Q43" i="6"/>
  <c r="M43" i="6"/>
  <c r="I43" i="6"/>
  <c r="D40" i="6"/>
  <c r="G40" i="6" s="1"/>
  <c r="AC38" i="6"/>
  <c r="Y38" i="6"/>
  <c r="U38" i="6"/>
  <c r="Q38" i="6"/>
  <c r="M38" i="6"/>
  <c r="I38" i="6"/>
  <c r="H38" i="6"/>
  <c r="G38" i="6"/>
  <c r="AC37" i="6"/>
  <c r="Y37" i="6"/>
  <c r="U37" i="6"/>
  <c r="Q37" i="6"/>
  <c r="M37" i="6"/>
  <c r="I37" i="6"/>
  <c r="H37" i="6"/>
  <c r="L37" i="6" s="1"/>
  <c r="G37" i="6"/>
  <c r="AC36" i="6"/>
  <c r="Y36" i="6"/>
  <c r="U36" i="6"/>
  <c r="Q36" i="6"/>
  <c r="M36" i="6"/>
  <c r="I36" i="6"/>
  <c r="H36" i="6"/>
  <c r="G36" i="6"/>
  <c r="AC35" i="6"/>
  <c r="Y35" i="6"/>
  <c r="U35" i="6"/>
  <c r="Q35" i="6"/>
  <c r="M35" i="6"/>
  <c r="I35" i="6"/>
  <c r="H35" i="6"/>
  <c r="K35" i="6" s="1"/>
  <c r="G35" i="6"/>
  <c r="AC34" i="6"/>
  <c r="Y34" i="6"/>
  <c r="U34" i="6"/>
  <c r="Q34" i="6"/>
  <c r="M34" i="6"/>
  <c r="I34" i="6"/>
  <c r="H34" i="6"/>
  <c r="G34" i="6"/>
  <c r="AC33" i="6"/>
  <c r="Y33" i="6"/>
  <c r="U33" i="6"/>
  <c r="Q33" i="6"/>
  <c r="M33" i="6"/>
  <c r="I33" i="6"/>
  <c r="H33" i="6"/>
  <c r="K33" i="6" s="1"/>
  <c r="G33" i="6"/>
  <c r="AC32" i="6"/>
  <c r="Y32" i="6"/>
  <c r="U32" i="6"/>
  <c r="Q32" i="6"/>
  <c r="M32" i="6"/>
  <c r="I32" i="6"/>
  <c r="H32" i="6"/>
  <c r="G32" i="6"/>
  <c r="AC26" i="6"/>
  <c r="Y26" i="6"/>
  <c r="U26" i="6"/>
  <c r="Q26" i="6"/>
  <c r="M26" i="6"/>
  <c r="I26" i="6"/>
  <c r="H26" i="6"/>
  <c r="K26" i="6" s="1"/>
  <c r="G26" i="6"/>
  <c r="AC25" i="6"/>
  <c r="Y25" i="6"/>
  <c r="U25" i="6"/>
  <c r="Q25" i="6"/>
  <c r="M25" i="6"/>
  <c r="I25" i="6"/>
  <c r="H25" i="6"/>
  <c r="L25" i="6" s="1"/>
  <c r="O25" i="6" s="1"/>
  <c r="G25" i="6"/>
  <c r="AC24" i="6"/>
  <c r="Y24" i="6"/>
  <c r="U24" i="6"/>
  <c r="Q24" i="6"/>
  <c r="M24" i="6"/>
  <c r="I24" i="6"/>
  <c r="H24" i="6"/>
  <c r="K24" i="6" s="1"/>
  <c r="G24" i="6"/>
  <c r="AC23" i="6"/>
  <c r="Y23" i="6"/>
  <c r="U23" i="6"/>
  <c r="Q23" i="6"/>
  <c r="M23" i="6"/>
  <c r="I23" i="6"/>
  <c r="H23" i="6"/>
  <c r="H29" i="6" s="1"/>
  <c r="G23" i="6"/>
  <c r="AC22" i="6"/>
  <c r="Y22" i="6"/>
  <c r="U22" i="6"/>
  <c r="AC21" i="6"/>
  <c r="Y21" i="6"/>
  <c r="U21" i="6"/>
  <c r="Q21" i="6"/>
  <c r="M21" i="6"/>
  <c r="AB10" i="6"/>
  <c r="X10" i="6"/>
  <c r="AA10" i="6" s="1"/>
  <c r="K10" i="6"/>
  <c r="G10" i="6"/>
  <c r="H6" i="6"/>
  <c r="L6" i="6" s="1"/>
  <c r="P6" i="6" s="1"/>
  <c r="T6" i="6" s="1"/>
  <c r="X6" i="6" s="1"/>
  <c r="AB6" i="6" s="1"/>
  <c r="D3" i="6"/>
  <c r="B87" i="3"/>
  <c r="B89" i="3"/>
  <c r="M35" i="3"/>
  <c r="G10" i="4"/>
  <c r="AF104" i="5"/>
  <c r="AF103" i="5"/>
  <c r="AE97" i="5"/>
  <c r="AE95" i="5"/>
  <c r="AD25" i="5"/>
  <c r="B26" i="3" s="1"/>
  <c r="B27" i="3"/>
  <c r="AE82" i="5"/>
  <c r="AE81" i="5"/>
  <c r="AD81" i="5"/>
  <c r="AE80" i="5"/>
  <c r="AD80" i="5"/>
  <c r="AE79" i="5"/>
  <c r="AD79" i="5"/>
  <c r="AE78" i="5"/>
  <c r="AD78" i="5"/>
  <c r="AE77" i="5"/>
  <c r="AD77" i="5"/>
  <c r="AE76" i="5"/>
  <c r="AD76" i="5"/>
  <c r="AE75" i="5"/>
  <c r="AD75" i="5"/>
  <c r="AE74" i="5"/>
  <c r="AD74" i="5"/>
  <c r="AE73" i="5"/>
  <c r="AD73" i="5"/>
  <c r="AE72" i="5"/>
  <c r="AD72" i="5"/>
  <c r="AE71" i="5"/>
  <c r="AD71" i="5"/>
  <c r="AE70" i="5"/>
  <c r="AD70" i="5"/>
  <c r="AE69" i="5"/>
  <c r="AD69" i="5"/>
  <c r="AE65" i="5"/>
  <c r="AD65" i="5"/>
  <c r="AE64" i="5"/>
  <c r="AD64" i="5"/>
  <c r="AE63" i="5"/>
  <c r="AD63" i="5"/>
  <c r="AE62" i="5"/>
  <c r="AD62" i="5"/>
  <c r="AE61" i="5"/>
  <c r="AD61" i="5"/>
  <c r="AE60" i="5"/>
  <c r="AD60" i="5"/>
  <c r="AE59" i="5"/>
  <c r="AD59" i="5"/>
  <c r="AE50" i="5"/>
  <c r="C50" i="3" s="1"/>
  <c r="AD50" i="5"/>
  <c r="B50" i="3" s="1"/>
  <c r="AE49" i="5"/>
  <c r="C49" i="3" s="1"/>
  <c r="AD49" i="5"/>
  <c r="B49" i="3" s="1"/>
  <c r="AE48" i="5"/>
  <c r="C48" i="3" s="1"/>
  <c r="AD48" i="5"/>
  <c r="B48" i="3" s="1"/>
  <c r="AE47" i="5"/>
  <c r="C47" i="3" s="1"/>
  <c r="AD47" i="5"/>
  <c r="B47" i="3" s="1"/>
  <c r="AE46" i="5"/>
  <c r="C46" i="3" s="1"/>
  <c r="AD46" i="5"/>
  <c r="B46" i="3" s="1"/>
  <c r="AE45" i="5"/>
  <c r="C45" i="3" s="1"/>
  <c r="AD45" i="5"/>
  <c r="B45" i="3" s="1"/>
  <c r="AE44" i="5"/>
  <c r="C44" i="3" s="1"/>
  <c r="AD44" i="5"/>
  <c r="B44" i="3" s="1"/>
  <c r="AE39" i="5"/>
  <c r="C39" i="3" s="1"/>
  <c r="AD39" i="5"/>
  <c r="B39" i="3" s="1"/>
  <c r="AE38" i="5"/>
  <c r="C38" i="3" s="1"/>
  <c r="AD38" i="5"/>
  <c r="B38" i="3" s="1"/>
  <c r="AE37" i="5"/>
  <c r="C37" i="3" s="1"/>
  <c r="AD37" i="5"/>
  <c r="B37" i="3" s="1"/>
  <c r="AE36" i="5"/>
  <c r="C36" i="3" s="1"/>
  <c r="AD36" i="5"/>
  <c r="B36" i="3" s="1"/>
  <c r="AE35" i="5"/>
  <c r="C35" i="3" s="1"/>
  <c r="AD35" i="5"/>
  <c r="B35" i="3" s="1"/>
  <c r="AE34" i="5"/>
  <c r="AD34" i="5"/>
  <c r="AE33" i="5"/>
  <c r="C33" i="3" s="1"/>
  <c r="AD33" i="5"/>
  <c r="B33" i="3" s="1"/>
  <c r="C28" i="3"/>
  <c r="B28" i="3"/>
  <c r="C27" i="3"/>
  <c r="AE25" i="5"/>
  <c r="C26" i="3" s="1"/>
  <c r="AE24" i="5"/>
  <c r="C25" i="3" s="1"/>
  <c r="AD24" i="5"/>
  <c r="B25" i="3" s="1"/>
  <c r="AE23" i="5"/>
  <c r="C24" i="3" s="1"/>
  <c r="AD23" i="5"/>
  <c r="B24" i="3" s="1"/>
  <c r="AE22" i="5"/>
  <c r="C23" i="3" s="1"/>
  <c r="AD22" i="5"/>
  <c r="B23" i="3" s="1"/>
  <c r="AE21" i="5"/>
  <c r="C22" i="3" s="1"/>
  <c r="AD21" i="5"/>
  <c r="B22" i="3" s="1"/>
  <c r="AE13" i="5"/>
  <c r="C14" i="3" s="1"/>
  <c r="AE10" i="5"/>
  <c r="C11" i="3" s="1"/>
  <c r="AE9" i="5"/>
  <c r="C10" i="3" s="1"/>
  <c r="AD13" i="5"/>
  <c r="AD20" i="5"/>
  <c r="B21" i="3" s="1"/>
  <c r="AD15" i="5"/>
  <c r="B16" i="3" s="1"/>
  <c r="AD11" i="5"/>
  <c r="B12" i="3" s="1"/>
  <c r="AD9" i="5"/>
  <c r="B10" i="3" s="1"/>
  <c r="AD7" i="5"/>
  <c r="B8" i="3" s="1"/>
  <c r="AA105" i="5"/>
  <c r="Y105" i="5"/>
  <c r="W105" i="5"/>
  <c r="U105" i="5"/>
  <c r="S105" i="5"/>
  <c r="Q105" i="5"/>
  <c r="M105" i="5"/>
  <c r="K105" i="5"/>
  <c r="I105" i="5"/>
  <c r="G105" i="5"/>
  <c r="C102" i="5"/>
  <c r="AA95" i="5"/>
  <c r="Y95" i="5"/>
  <c r="W95" i="5"/>
  <c r="U95" i="5"/>
  <c r="S95" i="5"/>
  <c r="Q95" i="5"/>
  <c r="O95" i="5"/>
  <c r="M95" i="5"/>
  <c r="K95" i="5"/>
  <c r="I95" i="5"/>
  <c r="E95" i="5"/>
  <c r="C95" i="5"/>
  <c r="B94" i="5"/>
  <c r="AE94" i="5" s="1"/>
  <c r="AD85" i="5"/>
  <c r="B85" i="3" s="1"/>
  <c r="AA82" i="5"/>
  <c r="Y82" i="5"/>
  <c r="W82" i="5"/>
  <c r="U82" i="5"/>
  <c r="S82" i="5"/>
  <c r="Q82" i="5"/>
  <c r="O82" i="5"/>
  <c r="M82" i="5"/>
  <c r="K82" i="5"/>
  <c r="I82" i="5"/>
  <c r="G82" i="5"/>
  <c r="E82" i="5"/>
  <c r="C82" i="5"/>
  <c r="AD68" i="5"/>
  <c r="B68" i="3" s="1"/>
  <c r="AA66" i="5"/>
  <c r="Y66" i="5"/>
  <c r="W66" i="5"/>
  <c r="U66" i="5"/>
  <c r="S66" i="5"/>
  <c r="Q66" i="5"/>
  <c r="O66" i="5"/>
  <c r="M66" i="5"/>
  <c r="K66" i="5"/>
  <c r="I66" i="5"/>
  <c r="G66" i="5"/>
  <c r="E66" i="5"/>
  <c r="C66" i="5"/>
  <c r="AD58" i="5"/>
  <c r="B58" i="3" s="1"/>
  <c r="AD55" i="5"/>
  <c r="B55" i="3" s="1"/>
  <c r="AA50" i="5"/>
  <c r="W50" i="5"/>
  <c r="U50" i="5"/>
  <c r="S50" i="5"/>
  <c r="M50" i="5"/>
  <c r="I50" i="5"/>
  <c r="E50" i="5"/>
  <c r="AA49" i="5"/>
  <c r="S49" i="5"/>
  <c r="M49" i="5"/>
  <c r="I49" i="5"/>
  <c r="E49" i="5"/>
  <c r="AA47" i="5"/>
  <c r="W47" i="5"/>
  <c r="U47" i="5"/>
  <c r="S47" i="5"/>
  <c r="I47" i="5"/>
  <c r="AA46" i="5"/>
  <c r="Y46" i="5"/>
  <c r="W46" i="5"/>
  <c r="U46" i="5"/>
  <c r="S46" i="5"/>
  <c r="Q46" i="5"/>
  <c r="O53" i="5"/>
  <c r="K46" i="5"/>
  <c r="U45" i="5"/>
  <c r="AF45" i="5" s="1"/>
  <c r="F34" i="27" s="1"/>
  <c r="U44" i="5"/>
  <c r="AF44" i="5" s="1"/>
  <c r="AD43" i="5"/>
  <c r="B43" i="3" s="1"/>
  <c r="AD42" i="5"/>
  <c r="AA41" i="5"/>
  <c r="Y41" i="5"/>
  <c r="W41" i="5"/>
  <c r="U41" i="5"/>
  <c r="S41" i="5"/>
  <c r="Q41" i="5"/>
  <c r="O41" i="5"/>
  <c r="M41" i="5"/>
  <c r="K41" i="5"/>
  <c r="I41" i="5"/>
  <c r="G41" i="5"/>
  <c r="E41" i="5"/>
  <c r="C41" i="5"/>
  <c r="AD32" i="5"/>
  <c r="B32" i="3" s="1"/>
  <c r="G12" i="5"/>
  <c r="E9" i="5"/>
  <c r="AF7" i="5"/>
  <c r="AC81" i="4"/>
  <c r="Y81" i="4"/>
  <c r="U81" i="4"/>
  <c r="Q81" i="4"/>
  <c r="M81" i="4"/>
  <c r="I81" i="4"/>
  <c r="H81" i="4" s="1"/>
  <c r="D81" i="4"/>
  <c r="G81" i="4" s="1"/>
  <c r="AC80" i="4"/>
  <c r="Y80" i="4"/>
  <c r="U80" i="4"/>
  <c r="Q80" i="4"/>
  <c r="M80" i="4"/>
  <c r="I80" i="4"/>
  <c r="H80" i="4" s="1"/>
  <c r="AC79" i="4"/>
  <c r="Y79" i="4"/>
  <c r="U79" i="4"/>
  <c r="Q79" i="4"/>
  <c r="M79" i="4"/>
  <c r="I79" i="4"/>
  <c r="H79" i="4" s="1"/>
  <c r="K79" i="4" s="1"/>
  <c r="G79" i="4"/>
  <c r="AC78" i="4"/>
  <c r="Y78" i="4"/>
  <c r="U78" i="4"/>
  <c r="Q78" i="4"/>
  <c r="M78" i="4"/>
  <c r="I78" i="4"/>
  <c r="H78" i="4" s="1"/>
  <c r="AC77" i="4"/>
  <c r="Y77" i="4"/>
  <c r="U77" i="4"/>
  <c r="Q77" i="4"/>
  <c r="M77" i="4"/>
  <c r="I77" i="4"/>
  <c r="AC76" i="4"/>
  <c r="Y76" i="4"/>
  <c r="U76" i="4"/>
  <c r="Q76" i="4"/>
  <c r="M76" i="4"/>
  <c r="I76" i="4"/>
  <c r="H76" i="4" s="1"/>
  <c r="AC75" i="4"/>
  <c r="Y75" i="4"/>
  <c r="U75" i="4"/>
  <c r="Q75" i="4"/>
  <c r="M75" i="4"/>
  <c r="I75" i="4"/>
  <c r="H75" i="4" s="1"/>
  <c r="K75" i="4" s="1"/>
  <c r="G75" i="4"/>
  <c r="AC74" i="4"/>
  <c r="Y74" i="4"/>
  <c r="U74" i="4"/>
  <c r="Q74" i="4"/>
  <c r="M74" i="4"/>
  <c r="I74" i="4"/>
  <c r="H74" i="4" s="1"/>
  <c r="AC73" i="4"/>
  <c r="Y73" i="4"/>
  <c r="U73" i="4"/>
  <c r="Q73" i="4"/>
  <c r="M73" i="4"/>
  <c r="I73" i="4"/>
  <c r="AC72" i="4"/>
  <c r="Y72" i="4"/>
  <c r="U72" i="4"/>
  <c r="Q72" i="4"/>
  <c r="M72" i="4"/>
  <c r="I72" i="4"/>
  <c r="H72" i="4" s="1"/>
  <c r="AC71" i="4"/>
  <c r="Y71" i="4"/>
  <c r="U71" i="4"/>
  <c r="Q71" i="4"/>
  <c r="M71" i="4"/>
  <c r="I71" i="4"/>
  <c r="H71" i="4" s="1"/>
  <c r="K71" i="4" s="1"/>
  <c r="G71" i="4"/>
  <c r="AC70" i="4"/>
  <c r="Y70" i="4"/>
  <c r="U70" i="4"/>
  <c r="Q70" i="4"/>
  <c r="M70" i="4"/>
  <c r="I70" i="4"/>
  <c r="H70" i="4" s="1"/>
  <c r="AC69" i="4"/>
  <c r="Y69" i="4"/>
  <c r="U69" i="4"/>
  <c r="Q69" i="4"/>
  <c r="M69" i="4"/>
  <c r="I69" i="4"/>
  <c r="AC65" i="4"/>
  <c r="Y65" i="4"/>
  <c r="U65" i="4"/>
  <c r="Q65" i="4"/>
  <c r="M65" i="4"/>
  <c r="I65" i="4"/>
  <c r="G65" i="4"/>
  <c r="AC64" i="4"/>
  <c r="Y64" i="4"/>
  <c r="U64" i="4"/>
  <c r="Q64" i="4"/>
  <c r="M64" i="4"/>
  <c r="I64" i="4"/>
  <c r="H64" i="4" s="1"/>
  <c r="AC63" i="4"/>
  <c r="Y63" i="4"/>
  <c r="U63" i="4"/>
  <c r="Q63" i="4"/>
  <c r="M63" i="4"/>
  <c r="I63" i="4"/>
  <c r="H63" i="4" s="1"/>
  <c r="G63" i="4"/>
  <c r="AC62" i="4"/>
  <c r="Y62" i="4"/>
  <c r="U62" i="4"/>
  <c r="Q62" i="4"/>
  <c r="M62" i="4"/>
  <c r="I62" i="4"/>
  <c r="AC61" i="4"/>
  <c r="Y61" i="4"/>
  <c r="U61" i="4"/>
  <c r="Q61" i="4"/>
  <c r="M61" i="4"/>
  <c r="I61" i="4"/>
  <c r="AC60" i="4"/>
  <c r="Y60" i="4"/>
  <c r="U60" i="4"/>
  <c r="Q60" i="4"/>
  <c r="M60" i="4"/>
  <c r="I60" i="4"/>
  <c r="H60" i="4" s="1"/>
  <c r="AC59" i="4"/>
  <c r="Y59" i="4"/>
  <c r="U59" i="4"/>
  <c r="Q59" i="4"/>
  <c r="M59" i="4"/>
  <c r="I59" i="4"/>
  <c r="H59" i="4" s="1"/>
  <c r="H52" i="4"/>
  <c r="H51" i="4"/>
  <c r="G51" i="4"/>
  <c r="AC50" i="4"/>
  <c r="Y50" i="4"/>
  <c r="U50" i="4"/>
  <c r="Q50" i="4"/>
  <c r="M50" i="4"/>
  <c r="I50" i="4"/>
  <c r="AC49" i="4"/>
  <c r="Y49" i="4"/>
  <c r="U49" i="4"/>
  <c r="Q49" i="4"/>
  <c r="M49" i="4"/>
  <c r="I49" i="4"/>
  <c r="AC48" i="4"/>
  <c r="Y48" i="4"/>
  <c r="U48" i="4"/>
  <c r="Q48" i="4"/>
  <c r="M48" i="4"/>
  <c r="I48" i="4"/>
  <c r="H48" i="4" s="1"/>
  <c r="G48" i="4"/>
  <c r="AC47" i="4"/>
  <c r="Y47" i="4"/>
  <c r="U47" i="4"/>
  <c r="Q47" i="4"/>
  <c r="M47" i="4"/>
  <c r="I47" i="4"/>
  <c r="AC46" i="4"/>
  <c r="Y46" i="4"/>
  <c r="U46" i="4"/>
  <c r="Q46" i="4"/>
  <c r="M46" i="4"/>
  <c r="I46" i="4"/>
  <c r="AC45" i="4"/>
  <c r="Y45" i="4"/>
  <c r="U45" i="4"/>
  <c r="Q45" i="4"/>
  <c r="M45" i="4"/>
  <c r="I45" i="4"/>
  <c r="U44" i="4"/>
  <c r="Q44" i="4"/>
  <c r="M44" i="4"/>
  <c r="I44" i="4"/>
  <c r="AC39" i="4"/>
  <c r="Y39" i="4"/>
  <c r="U39" i="4"/>
  <c r="Q39" i="4"/>
  <c r="M39" i="4"/>
  <c r="I39" i="4"/>
  <c r="H39" i="4"/>
  <c r="AC38" i="4"/>
  <c r="Y38" i="4"/>
  <c r="U38" i="4"/>
  <c r="Q38" i="4"/>
  <c r="M38" i="4"/>
  <c r="I38" i="4"/>
  <c r="H38" i="4"/>
  <c r="L38" i="4" s="1"/>
  <c r="G38" i="4"/>
  <c r="AC37" i="4"/>
  <c r="Y37" i="4"/>
  <c r="U37" i="4"/>
  <c r="Q37" i="4"/>
  <c r="M37" i="4"/>
  <c r="I37" i="4"/>
  <c r="H37" i="4"/>
  <c r="K37" i="4" s="1"/>
  <c r="G37" i="4"/>
  <c r="AC36" i="4"/>
  <c r="Y36" i="4"/>
  <c r="U36" i="4"/>
  <c r="Q36" i="4"/>
  <c r="M36" i="4"/>
  <c r="I36" i="4"/>
  <c r="G36" i="4"/>
  <c r="H36" i="4"/>
  <c r="AC35" i="4"/>
  <c r="Y35" i="4"/>
  <c r="U35" i="4"/>
  <c r="Q35" i="4"/>
  <c r="M35" i="4"/>
  <c r="I35" i="4"/>
  <c r="AC34" i="4"/>
  <c r="Y34" i="4"/>
  <c r="U34" i="4"/>
  <c r="Q34" i="4"/>
  <c r="M34" i="4"/>
  <c r="I34" i="4"/>
  <c r="H34" i="4"/>
  <c r="K34" i="4" s="1"/>
  <c r="G34" i="4"/>
  <c r="AC33" i="4"/>
  <c r="Y33" i="4"/>
  <c r="U33" i="4"/>
  <c r="Q33" i="4"/>
  <c r="M33" i="4"/>
  <c r="I33" i="4"/>
  <c r="H33" i="4"/>
  <c r="D41" i="4"/>
  <c r="AC27" i="4"/>
  <c r="Y27" i="4"/>
  <c r="U27" i="4"/>
  <c r="Q27" i="4"/>
  <c r="M27" i="4"/>
  <c r="I27" i="4"/>
  <c r="AC26" i="4"/>
  <c r="Y26" i="4"/>
  <c r="U26" i="4"/>
  <c r="Q26" i="4"/>
  <c r="M26" i="4"/>
  <c r="I26" i="4"/>
  <c r="H26" i="4"/>
  <c r="L26" i="4" s="1"/>
  <c r="AC25" i="4"/>
  <c r="Y25" i="4"/>
  <c r="U25" i="4"/>
  <c r="Q25" i="4"/>
  <c r="M25" i="4"/>
  <c r="I25" i="4"/>
  <c r="H25" i="4"/>
  <c r="L25" i="4" s="1"/>
  <c r="O25" i="4" s="1"/>
  <c r="AC24" i="4"/>
  <c r="Y24" i="4"/>
  <c r="U24" i="4"/>
  <c r="Q24" i="4"/>
  <c r="M24" i="4"/>
  <c r="I24" i="4"/>
  <c r="H24" i="4"/>
  <c r="G24" i="4" s="1"/>
  <c r="AC23" i="4"/>
  <c r="Y23" i="4"/>
  <c r="U23" i="4"/>
  <c r="Q23" i="4"/>
  <c r="M23" i="4"/>
  <c r="I23" i="4"/>
  <c r="AC22" i="4"/>
  <c r="Y22" i="4"/>
  <c r="U22" i="4"/>
  <c r="Q22" i="4"/>
  <c r="M22" i="4"/>
  <c r="I22" i="4"/>
  <c r="H22" i="4"/>
  <c r="L22" i="4" s="1"/>
  <c r="AC21" i="4"/>
  <c r="Y21" i="4"/>
  <c r="U21" i="4"/>
  <c r="Q21" i="4"/>
  <c r="M21" i="4"/>
  <c r="I21" i="4"/>
  <c r="H21" i="4"/>
  <c r="L21" i="4" s="1"/>
  <c r="P21" i="4" s="1"/>
  <c r="G21" i="4"/>
  <c r="AB10" i="4"/>
  <c r="X10" i="4"/>
  <c r="AA10" i="4" s="1"/>
  <c r="W10" i="4"/>
  <c r="T10" i="4"/>
  <c r="P10" i="4"/>
  <c r="S10" i="4" s="1"/>
  <c r="P6" i="4"/>
  <c r="T6" i="4" s="1"/>
  <c r="X6" i="4" s="1"/>
  <c r="AB6" i="4" s="1"/>
  <c r="L6" i="4"/>
  <c r="H6" i="4"/>
  <c r="D3" i="4"/>
  <c r="D9" i="4" s="1"/>
  <c r="G9" i="4" s="1"/>
  <c r="L3" i="4"/>
  <c r="L9" i="4" s="1"/>
  <c r="P38" i="3"/>
  <c r="D11" i="3"/>
  <c r="AB11" i="3"/>
  <c r="X11" i="3"/>
  <c r="AA11" i="3" s="1"/>
  <c r="T11" i="3"/>
  <c r="W11" i="3" s="1"/>
  <c r="H5" i="36"/>
  <c r="D2" i="3"/>
  <c r="AC80" i="3"/>
  <c r="Y80" i="3"/>
  <c r="U80" i="3"/>
  <c r="AC79" i="3"/>
  <c r="Y79" i="3"/>
  <c r="U79" i="3"/>
  <c r="AC78" i="3"/>
  <c r="Y78" i="3"/>
  <c r="U78" i="3"/>
  <c r="AC77" i="3"/>
  <c r="Y77" i="3"/>
  <c r="U77" i="3"/>
  <c r="AC76" i="3"/>
  <c r="Y76" i="3"/>
  <c r="U76" i="3"/>
  <c r="AC75" i="3"/>
  <c r="Y75" i="3"/>
  <c r="U75" i="3"/>
  <c r="AC74" i="3"/>
  <c r="Y74" i="3"/>
  <c r="U74" i="3"/>
  <c r="AC73" i="3"/>
  <c r="Y73" i="3"/>
  <c r="U73" i="3"/>
  <c r="AC72" i="3"/>
  <c r="Y72" i="3"/>
  <c r="U72" i="3"/>
  <c r="AC71" i="3"/>
  <c r="Y71" i="3"/>
  <c r="U71" i="3"/>
  <c r="AC70" i="3"/>
  <c r="Y70" i="3"/>
  <c r="U70" i="3"/>
  <c r="AC69" i="3"/>
  <c r="Y69" i="3"/>
  <c r="U69" i="3"/>
  <c r="AC65" i="3"/>
  <c r="Y65" i="3"/>
  <c r="U65" i="3"/>
  <c r="G65" i="3"/>
  <c r="AC64" i="3"/>
  <c r="Y64" i="3"/>
  <c r="U64" i="3"/>
  <c r="AC63" i="3"/>
  <c r="Y63" i="3"/>
  <c r="U63" i="3"/>
  <c r="AC62" i="3"/>
  <c r="Y62" i="3"/>
  <c r="U62" i="3"/>
  <c r="AC61" i="3"/>
  <c r="Y61" i="3"/>
  <c r="U61" i="3"/>
  <c r="AC60" i="3"/>
  <c r="Y60" i="3"/>
  <c r="U60" i="3"/>
  <c r="G60" i="3"/>
  <c r="AC59" i="3"/>
  <c r="Y59" i="3"/>
  <c r="U59" i="3"/>
  <c r="AC50" i="3"/>
  <c r="Y50" i="3"/>
  <c r="U50" i="3"/>
  <c r="Q50" i="3"/>
  <c r="M50" i="3"/>
  <c r="I50" i="3"/>
  <c r="AC49" i="3"/>
  <c r="Y49" i="3"/>
  <c r="U49" i="3"/>
  <c r="Q49" i="3"/>
  <c r="M49" i="3"/>
  <c r="I49" i="3"/>
  <c r="AC48" i="3"/>
  <c r="Y48" i="3"/>
  <c r="U48" i="3"/>
  <c r="Q48" i="3"/>
  <c r="M48" i="3"/>
  <c r="AC47" i="3"/>
  <c r="Y47" i="3"/>
  <c r="U47" i="3"/>
  <c r="Q47" i="3"/>
  <c r="M47" i="3"/>
  <c r="I47" i="3"/>
  <c r="AC46" i="3"/>
  <c r="Y46" i="3"/>
  <c r="U46" i="3"/>
  <c r="Q46" i="3"/>
  <c r="M46" i="3"/>
  <c r="I46" i="3"/>
  <c r="AC45" i="3"/>
  <c r="Y45" i="3"/>
  <c r="U45" i="3"/>
  <c r="Q45" i="3"/>
  <c r="M45" i="3"/>
  <c r="U44" i="3"/>
  <c r="Q44" i="3"/>
  <c r="M44" i="3"/>
  <c r="AC39" i="3"/>
  <c r="Y39" i="3"/>
  <c r="U39" i="3"/>
  <c r="AC38" i="3"/>
  <c r="Y38" i="3"/>
  <c r="U38" i="3"/>
  <c r="AC37" i="3"/>
  <c r="Y37" i="3"/>
  <c r="U37" i="3"/>
  <c r="AC36" i="3"/>
  <c r="Y36" i="3"/>
  <c r="U36" i="3"/>
  <c r="AC35" i="3"/>
  <c r="Y35" i="3"/>
  <c r="U35" i="3"/>
  <c r="Q35" i="3"/>
  <c r="AC34" i="3"/>
  <c r="Y34" i="3"/>
  <c r="U34" i="3"/>
  <c r="AC33" i="3"/>
  <c r="Y33" i="3"/>
  <c r="U33" i="3"/>
  <c r="Q33" i="3"/>
  <c r="AC28" i="3"/>
  <c r="Y28" i="3"/>
  <c r="U28" i="3"/>
  <c r="Q28" i="3"/>
  <c r="AC27" i="3"/>
  <c r="Y27" i="3"/>
  <c r="U27" i="3"/>
  <c r="Q27" i="3"/>
  <c r="AC26" i="3"/>
  <c r="Y26" i="3"/>
  <c r="U26" i="3"/>
  <c r="AC25" i="3"/>
  <c r="Y25" i="3"/>
  <c r="U25" i="3"/>
  <c r="Q25" i="3"/>
  <c r="AC24" i="3"/>
  <c r="Y24" i="3"/>
  <c r="U24" i="3"/>
  <c r="AC23" i="3"/>
  <c r="Y23" i="3"/>
  <c r="U23" i="3"/>
  <c r="G23" i="3"/>
  <c r="AC22" i="3"/>
  <c r="Y22" i="3"/>
  <c r="U22" i="3"/>
  <c r="H7" i="3"/>
  <c r="L7" i="3" s="1"/>
  <c r="P7" i="3" s="1"/>
  <c r="T7" i="3" s="1"/>
  <c r="X7" i="3" s="1"/>
  <c r="AB7" i="3" s="1"/>
  <c r="BD80" i="1"/>
  <c r="BD79" i="1"/>
  <c r="BD78" i="1"/>
  <c r="BD77" i="1"/>
  <c r="BD76" i="1"/>
  <c r="BD75" i="1"/>
  <c r="BD74" i="1"/>
  <c r="BD73" i="1"/>
  <c r="BD72" i="1"/>
  <c r="BD71" i="1"/>
  <c r="BD70" i="1"/>
  <c r="BD69" i="1"/>
  <c r="BD68" i="1"/>
  <c r="BD64" i="1"/>
  <c r="BD63" i="1"/>
  <c r="BD62" i="1"/>
  <c r="BD61" i="1"/>
  <c r="BD60" i="1"/>
  <c r="BD59" i="1"/>
  <c r="BD58" i="1"/>
  <c r="BD49" i="1"/>
  <c r="BD48" i="1"/>
  <c r="BD46" i="1"/>
  <c r="BD45" i="1"/>
  <c r="BD44" i="1"/>
  <c r="BD36" i="1"/>
  <c r="BD35" i="1"/>
  <c r="BD34" i="1"/>
  <c r="BD33" i="1"/>
  <c r="BD27" i="1"/>
  <c r="BD26" i="1"/>
  <c r="BD25" i="1"/>
  <c r="BD24" i="1"/>
  <c r="BD23" i="1"/>
  <c r="BD22" i="1"/>
  <c r="BD47" i="1"/>
  <c r="BD38" i="1"/>
  <c r="BD37" i="1"/>
  <c r="BD32" i="1"/>
  <c r="BD21" i="1"/>
  <c r="BC10" i="1"/>
  <c r="BB10" i="1"/>
  <c r="BC6" i="1"/>
  <c r="BC3" i="1"/>
  <c r="BC9" i="1" s="1"/>
  <c r="BC1" i="1"/>
  <c r="K71" i="2"/>
  <c r="AZ80" i="1"/>
  <c r="AZ79" i="1"/>
  <c r="AZ78" i="1"/>
  <c r="AZ77" i="1"/>
  <c r="AZ76" i="1"/>
  <c r="AZ75" i="1"/>
  <c r="AZ74" i="1"/>
  <c r="AZ73" i="1"/>
  <c r="AZ72" i="1"/>
  <c r="AZ71" i="1"/>
  <c r="AZ70" i="1"/>
  <c r="AZ69" i="1"/>
  <c r="AZ68" i="1"/>
  <c r="AZ64" i="1"/>
  <c r="AZ63" i="1"/>
  <c r="AZ62" i="1"/>
  <c r="AZ61" i="1"/>
  <c r="AZ60" i="1"/>
  <c r="AZ59" i="1"/>
  <c r="AZ58" i="1"/>
  <c r="AZ49" i="1"/>
  <c r="AZ48" i="1"/>
  <c r="AZ46" i="1"/>
  <c r="AZ45" i="1"/>
  <c r="AZ44" i="1"/>
  <c r="AZ37" i="1"/>
  <c r="AZ35" i="1"/>
  <c r="AZ25" i="1"/>
  <c r="AZ24" i="1"/>
  <c r="AZ23" i="1"/>
  <c r="AZ22" i="1"/>
  <c r="AZ21" i="1"/>
  <c r="AY13" i="1"/>
  <c r="AU13" i="1"/>
  <c r="AQ13" i="1"/>
  <c r="AZ47" i="1"/>
  <c r="AZ38" i="1"/>
  <c r="AZ36" i="1"/>
  <c r="AZ34" i="1"/>
  <c r="AZ33" i="1"/>
  <c r="AZ32" i="1"/>
  <c r="AZ27" i="1"/>
  <c r="AZ26" i="1"/>
  <c r="AY10" i="1"/>
  <c r="AX10" i="1"/>
  <c r="AY6" i="1"/>
  <c r="AY3" i="1"/>
  <c r="AY9" i="1" s="1"/>
  <c r="AY1" i="1"/>
  <c r="AV80" i="1"/>
  <c r="AV79" i="1"/>
  <c r="AV78" i="1"/>
  <c r="AV77" i="1"/>
  <c r="AV76" i="1"/>
  <c r="AV75" i="1"/>
  <c r="AV74" i="1"/>
  <c r="AV73" i="1"/>
  <c r="AV72" i="1"/>
  <c r="AV71" i="1"/>
  <c r="AV70" i="1"/>
  <c r="AV69" i="1"/>
  <c r="AV68" i="1"/>
  <c r="AV64" i="1"/>
  <c r="AV63" i="1"/>
  <c r="AV62" i="1"/>
  <c r="AV61" i="1"/>
  <c r="AV60" i="1"/>
  <c r="AV59" i="1"/>
  <c r="AV58" i="1"/>
  <c r="AR80" i="1"/>
  <c r="AR79" i="1"/>
  <c r="AR78" i="1"/>
  <c r="AR77" i="1"/>
  <c r="AR76" i="1"/>
  <c r="AR75" i="1"/>
  <c r="AR74" i="1"/>
  <c r="AR73" i="1"/>
  <c r="AR72" i="1"/>
  <c r="AR71" i="1"/>
  <c r="AR70" i="1"/>
  <c r="AR69" i="1"/>
  <c r="AR68" i="1"/>
  <c r="AR64" i="1"/>
  <c r="AR63" i="1"/>
  <c r="AR62" i="1"/>
  <c r="AR61" i="1"/>
  <c r="AR60" i="1"/>
  <c r="AR59" i="1"/>
  <c r="AR58" i="1"/>
  <c r="AJ62" i="1"/>
  <c r="AI62" i="1" s="1"/>
  <c r="AV49" i="1"/>
  <c r="AV48" i="1"/>
  <c r="AV46" i="1"/>
  <c r="AV45" i="1"/>
  <c r="AV44" i="1"/>
  <c r="AV43" i="1"/>
  <c r="AV47" i="1"/>
  <c r="AQ36" i="1"/>
  <c r="AQ32" i="1"/>
  <c r="AU32" i="1" s="1"/>
  <c r="AM38" i="1"/>
  <c r="AQ38" i="1" s="1"/>
  <c r="AM37" i="1"/>
  <c r="AQ37" i="1" s="1"/>
  <c r="AM36" i="1"/>
  <c r="AL36" i="1" s="1"/>
  <c r="AM35" i="1"/>
  <c r="AQ35" i="1" s="1"/>
  <c r="AM34" i="1"/>
  <c r="AQ34" i="1" s="1"/>
  <c r="AU34" i="1" s="1"/>
  <c r="AM33" i="1"/>
  <c r="AQ33" i="1" s="1"/>
  <c r="AU33" i="1" s="1"/>
  <c r="AM32" i="1"/>
  <c r="AQ25" i="1"/>
  <c r="AU25" i="1" s="1"/>
  <c r="AQ23" i="1"/>
  <c r="AU23" i="1" s="1"/>
  <c r="AY23" i="1" s="1"/>
  <c r="AM27" i="1"/>
  <c r="AQ27" i="1" s="1"/>
  <c r="AP27" i="1" s="1"/>
  <c r="AM26" i="1"/>
  <c r="AQ26" i="1" s="1"/>
  <c r="AU26" i="1" s="1"/>
  <c r="AM25" i="1"/>
  <c r="AM24" i="1"/>
  <c r="AM23" i="1"/>
  <c r="AM22" i="1"/>
  <c r="AQ22" i="1" s="1"/>
  <c r="AU22" i="1" s="1"/>
  <c r="AM21" i="1"/>
  <c r="AL21" i="1" s="1"/>
  <c r="AI38" i="1"/>
  <c r="AI37" i="1"/>
  <c r="AI36" i="1"/>
  <c r="AI35" i="1"/>
  <c r="AI34" i="1"/>
  <c r="AI33" i="1"/>
  <c r="AI32" i="1"/>
  <c r="AI27" i="1"/>
  <c r="AI26" i="1"/>
  <c r="AI25" i="1"/>
  <c r="AI24" i="1"/>
  <c r="AI23" i="1"/>
  <c r="AI22" i="1"/>
  <c r="AI21" i="1"/>
  <c r="AV27" i="1"/>
  <c r="AV26" i="1"/>
  <c r="AV25" i="1"/>
  <c r="AV24" i="1"/>
  <c r="AV23" i="1"/>
  <c r="AV22" i="1"/>
  <c r="AV21" i="1"/>
  <c r="AR47" i="1"/>
  <c r="AR49" i="1"/>
  <c r="AR48" i="1"/>
  <c r="AR46" i="1"/>
  <c r="AR45" i="1"/>
  <c r="AR44" i="1"/>
  <c r="AR43" i="1"/>
  <c r="AN47" i="1"/>
  <c r="AJ47" i="1"/>
  <c r="AI47" i="1" s="1"/>
  <c r="AN49" i="1"/>
  <c r="AN48" i="1"/>
  <c r="AN46" i="1"/>
  <c r="AN45" i="1"/>
  <c r="AN44" i="1"/>
  <c r="AN43" i="1"/>
  <c r="AV38" i="1"/>
  <c r="AV37" i="1"/>
  <c r="AV36" i="1"/>
  <c r="AV35" i="1"/>
  <c r="AV34" i="1"/>
  <c r="AV33" i="1"/>
  <c r="AV32" i="1"/>
  <c r="AU10" i="1"/>
  <c r="AT10" i="1"/>
  <c r="AU6" i="1"/>
  <c r="AU1" i="1"/>
  <c r="AU3" i="1" s="1"/>
  <c r="AU9" i="1" s="1"/>
  <c r="AJ33" i="1"/>
  <c r="AQ1" i="1"/>
  <c r="AR38" i="1"/>
  <c r="AR37" i="1"/>
  <c r="AR36" i="1"/>
  <c r="AP36" i="1"/>
  <c r="AR35" i="1"/>
  <c r="AR34" i="1"/>
  <c r="AR33" i="1"/>
  <c r="AP33" i="1"/>
  <c r="AR32" i="1"/>
  <c r="AR27" i="1"/>
  <c r="AR26" i="1"/>
  <c r="AR25" i="1"/>
  <c r="AR24" i="1"/>
  <c r="AR23" i="1"/>
  <c r="AR22" i="1"/>
  <c r="AR21" i="1"/>
  <c r="AQ10" i="1"/>
  <c r="AQ6" i="1"/>
  <c r="AQ3" i="1"/>
  <c r="AQ9" i="1" s="1"/>
  <c r="AN80" i="1"/>
  <c r="AN79" i="1"/>
  <c r="AN78" i="1"/>
  <c r="AN77" i="1"/>
  <c r="AN76" i="1"/>
  <c r="AN75" i="1"/>
  <c r="AN74" i="1"/>
  <c r="AN73" i="1"/>
  <c r="AN72" i="1"/>
  <c r="AN71" i="1"/>
  <c r="AN70" i="1"/>
  <c r="AN69" i="1"/>
  <c r="AN68" i="1"/>
  <c r="AN64" i="1"/>
  <c r="AN63" i="1"/>
  <c r="AN62" i="1"/>
  <c r="AN61" i="1"/>
  <c r="AN60" i="1"/>
  <c r="AN59" i="1"/>
  <c r="AN58" i="1"/>
  <c r="AN38" i="1"/>
  <c r="AN37" i="1"/>
  <c r="AN36" i="1"/>
  <c r="AN35" i="1"/>
  <c r="AN34" i="1"/>
  <c r="AN33" i="1"/>
  <c r="AN32" i="1"/>
  <c r="AN27" i="1"/>
  <c r="AN26" i="1"/>
  <c r="AN25" i="1"/>
  <c r="AN24" i="1"/>
  <c r="AN23" i="1"/>
  <c r="AN22" i="1"/>
  <c r="AN21" i="1"/>
  <c r="AJ80" i="1"/>
  <c r="AI80" i="1" s="1"/>
  <c r="AL80" i="1" s="1"/>
  <c r="AJ79" i="1"/>
  <c r="AI79" i="1" s="1"/>
  <c r="AJ78" i="1"/>
  <c r="AI78" i="1" s="1"/>
  <c r="AH78" i="1" s="1"/>
  <c r="AJ77" i="1"/>
  <c r="AI77" i="1" s="1"/>
  <c r="AH77" i="1" s="1"/>
  <c r="AJ76" i="1"/>
  <c r="AI76" i="1" s="1"/>
  <c r="AH76" i="1" s="1"/>
  <c r="AJ75" i="1"/>
  <c r="AI75" i="1" s="1"/>
  <c r="AH75" i="1" s="1"/>
  <c r="AJ74" i="1"/>
  <c r="AI74" i="1" s="1"/>
  <c r="AH74" i="1" s="1"/>
  <c r="AJ73" i="1"/>
  <c r="AI73" i="1" s="1"/>
  <c r="AH73" i="1" s="1"/>
  <c r="AJ72" i="1"/>
  <c r="AI72" i="1" s="1"/>
  <c r="AH72" i="1" s="1"/>
  <c r="AJ71" i="1"/>
  <c r="AI71" i="1" s="1"/>
  <c r="AH71" i="1" s="1"/>
  <c r="AJ70" i="1"/>
  <c r="AI70" i="1" s="1"/>
  <c r="AH70" i="1" s="1"/>
  <c r="AJ69" i="1"/>
  <c r="AI69" i="1" s="1"/>
  <c r="AH69" i="1" s="1"/>
  <c r="AJ68" i="1"/>
  <c r="AI68" i="1" s="1"/>
  <c r="AJ64" i="1"/>
  <c r="AI64" i="1" s="1"/>
  <c r="AL64" i="1" s="1"/>
  <c r="AJ63" i="1"/>
  <c r="AI63" i="1" s="1"/>
  <c r="AH63" i="1" s="1"/>
  <c r="AJ61" i="1"/>
  <c r="AI61" i="1" s="1"/>
  <c r="AJ60" i="1"/>
  <c r="AI60" i="1" s="1"/>
  <c r="AJ59" i="1"/>
  <c r="AI59" i="1" s="1"/>
  <c r="AJ58" i="1"/>
  <c r="AI58" i="1" s="1"/>
  <c r="AM51" i="1"/>
  <c r="AQ51" i="1" s="1"/>
  <c r="AM50" i="1"/>
  <c r="AQ50" i="1" s="1"/>
  <c r="AI51" i="1"/>
  <c r="AI50" i="1"/>
  <c r="AM1" i="1"/>
  <c r="AM3" i="1"/>
  <c r="AM9" i="1" s="1"/>
  <c r="AI9" i="1"/>
  <c r="AI3" i="1"/>
  <c r="AI2" i="1"/>
  <c r="AI1" i="1"/>
  <c r="AL38" i="1"/>
  <c r="AL37" i="1"/>
  <c r="AL34" i="1"/>
  <c r="AL33" i="1"/>
  <c r="AL27" i="1"/>
  <c r="AL25" i="1"/>
  <c r="AL24" i="1"/>
  <c r="AL23" i="1"/>
  <c r="AH80" i="1"/>
  <c r="AJ36" i="1"/>
  <c r="AH33" i="1"/>
  <c r="AH27" i="1"/>
  <c r="AH26" i="1"/>
  <c r="AH25" i="1"/>
  <c r="AH24" i="1"/>
  <c r="AH23" i="1"/>
  <c r="AH22" i="1"/>
  <c r="AH21" i="1"/>
  <c r="AH32" i="1"/>
  <c r="AH38" i="1"/>
  <c r="AH37" i="1"/>
  <c r="AH36" i="1"/>
  <c r="AH35" i="1"/>
  <c r="AH34" i="1"/>
  <c r="AH40" i="1"/>
  <c r="AH51" i="1"/>
  <c r="AH50" i="1"/>
  <c r="AH64" i="1"/>
  <c r="AJ44" i="1"/>
  <c r="AI44" i="1" s="1"/>
  <c r="AH44" i="1" s="1"/>
  <c r="AJ43" i="1"/>
  <c r="AJ48" i="1"/>
  <c r="AJ49" i="1"/>
  <c r="AJ46" i="1"/>
  <c r="AJ45" i="1"/>
  <c r="AI45" i="1" s="1"/>
  <c r="AH45" i="1" s="1"/>
  <c r="AJ38" i="1"/>
  <c r="AJ37" i="1"/>
  <c r="AJ35" i="1"/>
  <c r="AJ34" i="1"/>
  <c r="AJ32" i="1"/>
  <c r="AJ26" i="1"/>
  <c r="AJ25" i="1"/>
  <c r="AJ24" i="1"/>
  <c r="AJ23" i="1"/>
  <c r="AJ22" i="1"/>
  <c r="AJ21" i="1"/>
  <c r="AJ27" i="1"/>
  <c r="D78" i="2"/>
  <c r="E21" i="2"/>
  <c r="F21" i="2" s="1"/>
  <c r="G21" i="2" s="1"/>
  <c r="J14" i="2"/>
  <c r="K14" i="2" s="1"/>
  <c r="J13" i="2"/>
  <c r="F12" i="2"/>
  <c r="G12" i="2" s="1"/>
  <c r="H12" i="2" s="1"/>
  <c r="I12" i="2" s="1"/>
  <c r="J12" i="2" s="1"/>
  <c r="K12" i="2" s="1"/>
  <c r="F34" i="28" l="1"/>
  <c r="N34" i="28" s="1"/>
  <c r="F7" i="27"/>
  <c r="F7" i="28" s="1"/>
  <c r="N7" i="28" s="1"/>
  <c r="E5" i="36"/>
  <c r="H1" i="3"/>
  <c r="X37" i="7"/>
  <c r="W37" i="7"/>
  <c r="T41" i="7"/>
  <c r="AF46" i="5"/>
  <c r="F35" i="27" s="1"/>
  <c r="AF47" i="5"/>
  <c r="F36" i="27" s="1"/>
  <c r="AF49" i="5"/>
  <c r="F38" i="27" s="1"/>
  <c r="F38" i="28" s="1"/>
  <c r="N38" i="28" s="1"/>
  <c r="F33" i="27"/>
  <c r="AF50" i="5"/>
  <c r="F39" i="27" s="1"/>
  <c r="F39" i="28" s="1"/>
  <c r="N39" i="28" s="1"/>
  <c r="E14" i="3"/>
  <c r="E13" i="6"/>
  <c r="W63" i="7"/>
  <c r="P15" i="7"/>
  <c r="O15" i="7" s="1"/>
  <c r="P96" i="7"/>
  <c r="L35" i="6"/>
  <c r="O35" i="6" s="1"/>
  <c r="M33" i="3"/>
  <c r="S11" i="3"/>
  <c r="D38" i="2"/>
  <c r="L28" i="3"/>
  <c r="P28" i="3" s="1"/>
  <c r="O82" i="7"/>
  <c r="K23" i="6"/>
  <c r="L24" i="6"/>
  <c r="O24" i="6" s="1"/>
  <c r="AB48" i="7"/>
  <c r="AA48" i="7" s="1"/>
  <c r="AM79" i="1"/>
  <c r="AQ79" i="1" s="1"/>
  <c r="AP79" i="1" s="1"/>
  <c r="AM58" i="1"/>
  <c r="AQ58" i="1" s="1"/>
  <c r="AU58" i="1" s="1"/>
  <c r="AY58" i="1" s="1"/>
  <c r="K13" i="2"/>
  <c r="J44" i="2" s="1"/>
  <c r="I44" i="2"/>
  <c r="AM59" i="1"/>
  <c r="AQ59" i="1" s="1"/>
  <c r="AC44" i="7"/>
  <c r="K53" i="5"/>
  <c r="K55" i="5" s="1"/>
  <c r="K85" i="5" s="1"/>
  <c r="L23" i="6"/>
  <c r="P23" i="6" s="1"/>
  <c r="T23" i="6" s="1"/>
  <c r="L71" i="6"/>
  <c r="P71" i="6" s="1"/>
  <c r="H80" i="6"/>
  <c r="K80" i="6" s="1"/>
  <c r="L33" i="6"/>
  <c r="O33" i="6" s="1"/>
  <c r="O66" i="7"/>
  <c r="O13" i="7"/>
  <c r="G15" i="7"/>
  <c r="T13" i="7"/>
  <c r="H55" i="7"/>
  <c r="H85" i="7" s="1"/>
  <c r="H87" i="7" s="1"/>
  <c r="G53" i="7"/>
  <c r="X64" i="7"/>
  <c r="W64" i="7"/>
  <c r="T3" i="7"/>
  <c r="X1" i="7"/>
  <c r="X28" i="7"/>
  <c r="W28" i="7"/>
  <c r="X73" i="7"/>
  <c r="W73" i="7"/>
  <c r="AB38" i="7"/>
  <c r="AA38" i="7"/>
  <c r="AB65" i="7"/>
  <c r="AA65" i="7"/>
  <c r="AB63" i="7"/>
  <c r="AA63" i="7"/>
  <c r="W76" i="7"/>
  <c r="X76" i="7"/>
  <c r="X60" i="7"/>
  <c r="W60" i="7"/>
  <c r="W80" i="7"/>
  <c r="X80" i="7"/>
  <c r="X21" i="7"/>
  <c r="T30" i="7"/>
  <c r="S30" i="7" s="1"/>
  <c r="AB9" i="7"/>
  <c r="AB11" i="7" s="1"/>
  <c r="X11" i="7"/>
  <c r="X69" i="7"/>
  <c r="W69" i="7" s="1"/>
  <c r="T82" i="7"/>
  <c r="X75" i="7"/>
  <c r="W75" i="7"/>
  <c r="W72" i="7"/>
  <c r="X72" i="7"/>
  <c r="O44" i="7"/>
  <c r="P50" i="7"/>
  <c r="O50" i="7" s="1"/>
  <c r="P49" i="7"/>
  <c r="O49" i="7" s="1"/>
  <c r="P47" i="7"/>
  <c r="AB34" i="7"/>
  <c r="AA34" i="7"/>
  <c r="X62" i="7"/>
  <c r="W62" i="7" s="1"/>
  <c r="K49" i="7"/>
  <c r="X77" i="7"/>
  <c r="W77" i="7"/>
  <c r="X79" i="7"/>
  <c r="W79" i="7"/>
  <c r="AA25" i="7"/>
  <c r="AB25" i="7"/>
  <c r="X59" i="7"/>
  <c r="W59" i="7"/>
  <c r="T66" i="7"/>
  <c r="S66" i="7" s="1"/>
  <c r="AA27" i="7"/>
  <c r="AB27" i="7"/>
  <c r="W74" i="7"/>
  <c r="X74" i="7"/>
  <c r="AB61" i="7"/>
  <c r="AA61" i="7"/>
  <c r="W26" i="7"/>
  <c r="X26" i="7"/>
  <c r="X71" i="7"/>
  <c r="W71" i="7"/>
  <c r="W70" i="7"/>
  <c r="X70" i="7"/>
  <c r="AB81" i="7"/>
  <c r="AA81" i="7"/>
  <c r="W9" i="7"/>
  <c r="S69" i="7"/>
  <c r="AB36" i="7"/>
  <c r="AA36" i="7"/>
  <c r="L53" i="7"/>
  <c r="W78" i="7"/>
  <c r="X78" i="7"/>
  <c r="AU38" i="1"/>
  <c r="AY38" i="1" s="1"/>
  <c r="AX38" i="1" s="1"/>
  <c r="AP38" i="1"/>
  <c r="F25" i="2"/>
  <c r="AL51" i="1"/>
  <c r="AM60" i="1"/>
  <c r="AQ60" i="1" s="1"/>
  <c r="AP60" i="1" s="1"/>
  <c r="AP34" i="1"/>
  <c r="AQ21" i="1"/>
  <c r="AU21" i="1" s="1"/>
  <c r="BD43" i="1"/>
  <c r="Y44" i="3"/>
  <c r="AU35" i="1"/>
  <c r="AT35" i="1" s="1"/>
  <c r="AT50" i="1"/>
  <c r="AU50" i="1"/>
  <c r="AP51" i="1"/>
  <c r="AU51" i="1"/>
  <c r="AT51" i="1" s="1"/>
  <c r="AX23" i="1"/>
  <c r="BC23" i="1"/>
  <c r="BB23" i="1" s="1"/>
  <c r="AY33" i="1"/>
  <c r="AX33" i="1"/>
  <c r="AP37" i="1"/>
  <c r="AU37" i="1"/>
  <c r="AY37" i="1" s="1"/>
  <c r="AY34" i="1"/>
  <c r="BC34" i="1" s="1"/>
  <c r="BB34" i="1" s="1"/>
  <c r="AY22" i="1"/>
  <c r="AX22" i="1" s="1"/>
  <c r="AY26" i="1"/>
  <c r="AX26" i="1" s="1"/>
  <c r="AY25" i="1"/>
  <c r="AT38" i="1"/>
  <c r="AY32" i="1"/>
  <c r="AX32" i="1" s="1"/>
  <c r="AT32" i="1"/>
  <c r="AY21" i="1"/>
  <c r="AX21" i="1" s="1"/>
  <c r="AU27" i="1"/>
  <c r="AY27" i="1" s="1"/>
  <c r="AM68" i="1"/>
  <c r="AQ68" i="1" s="1"/>
  <c r="AP50" i="1"/>
  <c r="AQ24" i="1"/>
  <c r="AU24" i="1" s="1"/>
  <c r="AP32" i="1"/>
  <c r="AZ43" i="1"/>
  <c r="AC44" i="3"/>
  <c r="Y44" i="4"/>
  <c r="L75" i="6"/>
  <c r="P75" i="6" s="1"/>
  <c r="AP26" i="1"/>
  <c r="AL50" i="1"/>
  <c r="AM61" i="1"/>
  <c r="AQ61" i="1" s="1"/>
  <c r="AP61" i="1" s="1"/>
  <c r="AP35" i="1"/>
  <c r="AC44" i="4"/>
  <c r="Y43" i="6"/>
  <c r="L79" i="6"/>
  <c r="O79" i="6" s="1"/>
  <c r="AL22" i="1"/>
  <c r="AL26" i="1"/>
  <c r="AL35" i="1"/>
  <c r="AU36" i="1"/>
  <c r="AT36" i="1" s="1"/>
  <c r="AC43" i="6"/>
  <c r="L73" i="6"/>
  <c r="O73" i="6" s="1"/>
  <c r="P25" i="6"/>
  <c r="S25" i="6" s="1"/>
  <c r="K25" i="6"/>
  <c r="O37" i="6"/>
  <c r="P37" i="6"/>
  <c r="T37" i="6" s="1"/>
  <c r="P35" i="6"/>
  <c r="T35" i="6" s="1"/>
  <c r="K37" i="6"/>
  <c r="L63" i="6"/>
  <c r="P63" i="6" s="1"/>
  <c r="T63" i="6" s="1"/>
  <c r="O22" i="6"/>
  <c r="G21" i="6"/>
  <c r="L21" i="6"/>
  <c r="K61" i="6"/>
  <c r="L61" i="6"/>
  <c r="O61" i="6" s="1"/>
  <c r="L69" i="6"/>
  <c r="O69" i="6" s="1"/>
  <c r="L77" i="6"/>
  <c r="P77" i="6" s="1"/>
  <c r="K63" i="4"/>
  <c r="L63" i="4"/>
  <c r="P63" i="4" s="1"/>
  <c r="D11" i="6"/>
  <c r="D13" i="6" s="1"/>
  <c r="D95" i="6" s="1"/>
  <c r="T1" i="6"/>
  <c r="K34" i="6"/>
  <c r="L34" i="6"/>
  <c r="K32" i="6"/>
  <c r="H40" i="6"/>
  <c r="L32" i="6"/>
  <c r="K36" i="6"/>
  <c r="L36" i="6"/>
  <c r="K38" i="6"/>
  <c r="L38" i="6"/>
  <c r="L47" i="6"/>
  <c r="K47" i="6" s="1"/>
  <c r="L26" i="6"/>
  <c r="P33" i="6"/>
  <c r="L62" i="6"/>
  <c r="K62" i="6"/>
  <c r="L64" i="6"/>
  <c r="K64" i="6"/>
  <c r="K68" i="6"/>
  <c r="L76" i="6"/>
  <c r="K76" i="6"/>
  <c r="D54" i="6"/>
  <c r="H65" i="6"/>
  <c r="L58" i="6"/>
  <c r="L74" i="6"/>
  <c r="K74" i="6"/>
  <c r="K58" i="6"/>
  <c r="L60" i="6"/>
  <c r="K60" i="6"/>
  <c r="L72" i="6"/>
  <c r="K72" i="6"/>
  <c r="L59" i="6"/>
  <c r="L70" i="6"/>
  <c r="K70" i="6"/>
  <c r="L78" i="6"/>
  <c r="K78" i="6"/>
  <c r="D81" i="6"/>
  <c r="K69" i="6"/>
  <c r="K71" i="6"/>
  <c r="K73" i="6"/>
  <c r="K75" i="6"/>
  <c r="K77" i="6"/>
  <c r="K79" i="6"/>
  <c r="L34" i="4"/>
  <c r="P34" i="4" s="1"/>
  <c r="T34" i="4" s="1"/>
  <c r="X34" i="4" s="1"/>
  <c r="L79" i="4"/>
  <c r="O79" i="4" s="1"/>
  <c r="L75" i="4"/>
  <c r="O75" i="4" s="1"/>
  <c r="L71" i="4"/>
  <c r="P71" i="4" s="1"/>
  <c r="L37" i="4"/>
  <c r="O37" i="4" s="1"/>
  <c r="K25" i="4"/>
  <c r="P25" i="4"/>
  <c r="T25" i="4" s="1"/>
  <c r="Y53" i="5"/>
  <c r="Y55" i="5" s="1"/>
  <c r="Y85" i="5" s="1"/>
  <c r="Y97" i="5" s="1"/>
  <c r="Y108" i="5" s="1"/>
  <c r="Y113" i="5" s="1"/>
  <c r="G53" i="5"/>
  <c r="G55" i="5" s="1"/>
  <c r="G85" i="5" s="1"/>
  <c r="G97" i="5" s="1"/>
  <c r="G108" i="5" s="1"/>
  <c r="W53" i="5"/>
  <c r="W55" i="5" s="1"/>
  <c r="W85" i="5" s="1"/>
  <c r="W97" i="5" s="1"/>
  <c r="W108" i="5" s="1"/>
  <c r="W113" i="5" s="1"/>
  <c r="E53" i="5"/>
  <c r="E55" i="5" s="1"/>
  <c r="E85" i="5" s="1"/>
  <c r="E97" i="5" s="1"/>
  <c r="E108" i="5" s="1"/>
  <c r="S53" i="5"/>
  <c r="S55" i="5" s="1"/>
  <c r="S85" i="5" s="1"/>
  <c r="S97" i="5" s="1"/>
  <c r="S108" i="5" s="1"/>
  <c r="S113" i="5" s="1"/>
  <c r="AA53" i="5"/>
  <c r="AA55" i="5" s="1"/>
  <c r="AA85" i="5" s="1"/>
  <c r="AA97" i="5" s="1"/>
  <c r="AA108" i="5" s="1"/>
  <c r="AA113" i="5" s="1"/>
  <c r="I53" i="5"/>
  <c r="I55" i="5" s="1"/>
  <c r="I85" i="5" s="1"/>
  <c r="I97" i="5" s="1"/>
  <c r="I108" i="5" s="1"/>
  <c r="E10" i="5"/>
  <c r="C9" i="5" s="1"/>
  <c r="AF9" i="5" s="1"/>
  <c r="AF11" i="5" s="1"/>
  <c r="O55" i="5"/>
  <c r="O85" i="5" s="1"/>
  <c r="O97" i="5" s="1"/>
  <c r="O108" i="5" s="1"/>
  <c r="C53" i="5"/>
  <c r="C55" i="5" s="1"/>
  <c r="M53" i="5"/>
  <c r="M55" i="5" s="1"/>
  <c r="M85" i="5" s="1"/>
  <c r="M97" i="5" s="1"/>
  <c r="M108" i="5" s="1"/>
  <c r="U53" i="5"/>
  <c r="U55" i="5" s="1"/>
  <c r="U85" i="5" s="1"/>
  <c r="U97" i="5" s="1"/>
  <c r="U108" i="5" s="1"/>
  <c r="U113" i="5" s="1"/>
  <c r="Q53" i="5"/>
  <c r="Q55" i="5" s="1"/>
  <c r="Q85" i="5" s="1"/>
  <c r="Q88" i="5" s="1"/>
  <c r="T21" i="4"/>
  <c r="S21" i="4"/>
  <c r="D11" i="4"/>
  <c r="G11" i="4" s="1"/>
  <c r="H3" i="4"/>
  <c r="H9" i="4" s="1"/>
  <c r="L10" i="4"/>
  <c r="O10" i="4" s="1"/>
  <c r="P22" i="4"/>
  <c r="K22" i="4"/>
  <c r="P26" i="4"/>
  <c r="O26" i="4"/>
  <c r="D30" i="4"/>
  <c r="K21" i="4"/>
  <c r="H23" i="4"/>
  <c r="H27" i="4"/>
  <c r="K33" i="4"/>
  <c r="L36" i="4"/>
  <c r="K39" i="4"/>
  <c r="L39" i="4"/>
  <c r="L59" i="4"/>
  <c r="K24" i="4"/>
  <c r="K26" i="4"/>
  <c r="G33" i="4"/>
  <c r="L33" i="4"/>
  <c r="G35" i="4"/>
  <c r="P38" i="4"/>
  <c r="H35" i="4"/>
  <c r="H41" i="4" s="1"/>
  <c r="D53" i="4"/>
  <c r="K51" i="4"/>
  <c r="O21" i="4"/>
  <c r="G22" i="4"/>
  <c r="L24" i="4"/>
  <c r="G25" i="4"/>
  <c r="G26" i="4"/>
  <c r="O34" i="4"/>
  <c r="K38" i="4"/>
  <c r="G39" i="4"/>
  <c r="K48" i="4"/>
  <c r="L48" i="4"/>
  <c r="L52" i="4"/>
  <c r="K52" i="4"/>
  <c r="L51" i="4"/>
  <c r="L64" i="4"/>
  <c r="G64" i="4"/>
  <c r="H62" i="4"/>
  <c r="L70" i="4"/>
  <c r="K70" i="4"/>
  <c r="L74" i="4"/>
  <c r="L78" i="4"/>
  <c r="K78" i="4"/>
  <c r="G52" i="4"/>
  <c r="D66" i="4"/>
  <c r="H61" i="4"/>
  <c r="G59" i="4"/>
  <c r="K60" i="4"/>
  <c r="L60" i="4"/>
  <c r="G60" i="4"/>
  <c r="K80" i="4"/>
  <c r="L81" i="4"/>
  <c r="K81" i="4"/>
  <c r="H65" i="4"/>
  <c r="H69" i="4"/>
  <c r="G69" i="4" s="1"/>
  <c r="G72" i="4"/>
  <c r="L72" i="4"/>
  <c r="H73" i="4"/>
  <c r="G76" i="4"/>
  <c r="L76" i="4"/>
  <c r="H77" i="4"/>
  <c r="G80" i="4"/>
  <c r="L80" i="4"/>
  <c r="D82" i="4"/>
  <c r="G70" i="4"/>
  <c r="G74" i="4"/>
  <c r="G78" i="4"/>
  <c r="D30" i="3"/>
  <c r="F26" i="27" s="1"/>
  <c r="D41" i="3"/>
  <c r="F27" i="27" s="1"/>
  <c r="P33" i="3"/>
  <c r="K36" i="3"/>
  <c r="G22" i="3"/>
  <c r="K34" i="3"/>
  <c r="G28" i="3"/>
  <c r="G34" i="3"/>
  <c r="D66" i="3"/>
  <c r="F42" i="27" s="1"/>
  <c r="F42" i="28" s="1"/>
  <c r="N42" i="28" s="1"/>
  <c r="K64" i="3"/>
  <c r="G71" i="3"/>
  <c r="G75" i="3"/>
  <c r="L3" i="3"/>
  <c r="D3" i="3"/>
  <c r="G77" i="3"/>
  <c r="K23" i="3"/>
  <c r="AT58" i="1"/>
  <c r="AM69" i="1"/>
  <c r="AQ69" i="1" s="1"/>
  <c r="AP69" i="1" s="1"/>
  <c r="AM73" i="1"/>
  <c r="AQ73" i="1" s="1"/>
  <c r="AP73" i="1" s="1"/>
  <c r="AM77" i="1"/>
  <c r="AQ77" i="1" s="1"/>
  <c r="AP77" i="1" s="1"/>
  <c r="AM63" i="1"/>
  <c r="AL63" i="1" s="1"/>
  <c r="AM70" i="1"/>
  <c r="AQ70" i="1" s="1"/>
  <c r="AP70" i="1" s="1"/>
  <c r="AM74" i="1"/>
  <c r="AQ74" i="1" s="1"/>
  <c r="AP74" i="1" s="1"/>
  <c r="AM78" i="1"/>
  <c r="AQ78" i="1" s="1"/>
  <c r="AP78" i="1" s="1"/>
  <c r="AH58" i="1"/>
  <c r="AM64" i="1"/>
  <c r="AM71" i="1"/>
  <c r="AQ71" i="1" s="1"/>
  <c r="AP71" i="1" s="1"/>
  <c r="AM75" i="1"/>
  <c r="AM72" i="1"/>
  <c r="AM76" i="1"/>
  <c r="AQ76" i="1" s="1"/>
  <c r="AP76" i="1" s="1"/>
  <c r="AM80" i="1"/>
  <c r="G69" i="3"/>
  <c r="G73" i="3"/>
  <c r="K24" i="3"/>
  <c r="L27" i="3"/>
  <c r="H30" i="3"/>
  <c r="K26" i="3"/>
  <c r="G38" i="3"/>
  <c r="G24" i="3"/>
  <c r="G26" i="3"/>
  <c r="G27" i="3"/>
  <c r="K37" i="3"/>
  <c r="P39" i="3"/>
  <c r="G41" i="27"/>
  <c r="G41" i="28" s="1"/>
  <c r="O41" i="28" s="1"/>
  <c r="G59" i="3"/>
  <c r="K60" i="3"/>
  <c r="G61" i="3"/>
  <c r="G37" i="3"/>
  <c r="G62" i="3"/>
  <c r="G78" i="3"/>
  <c r="G72" i="3"/>
  <c r="D82" i="3"/>
  <c r="F44" i="27" s="1"/>
  <c r="BC11" i="1"/>
  <c r="BB9" i="1"/>
  <c r="AY11" i="1"/>
  <c r="AX9" i="1"/>
  <c r="AH62" i="1"/>
  <c r="AM62" i="1"/>
  <c r="AL62" i="1" s="1"/>
  <c r="AT33" i="1"/>
  <c r="AL32" i="1"/>
  <c r="AT34" i="1"/>
  <c r="AQ40" i="1"/>
  <c r="AQ45" i="1" s="1"/>
  <c r="AT37" i="1"/>
  <c r="AP23" i="1"/>
  <c r="AT25" i="1"/>
  <c r="AP25" i="1"/>
  <c r="AT24" i="1"/>
  <c r="AT23" i="1"/>
  <c r="AT26" i="1"/>
  <c r="AP22" i="1"/>
  <c r="AQ29" i="1"/>
  <c r="AT22" i="1"/>
  <c r="AT21" i="1"/>
  <c r="AM47" i="1"/>
  <c r="AL47" i="1" s="1"/>
  <c r="AH47" i="1"/>
  <c r="AU11" i="1"/>
  <c r="AT9" i="1"/>
  <c r="AP58" i="1"/>
  <c r="AQ11" i="1"/>
  <c r="AP9" i="1"/>
  <c r="AP21" i="1"/>
  <c r="AH60" i="1"/>
  <c r="AH79" i="1"/>
  <c r="AH68" i="1"/>
  <c r="AH59" i="1"/>
  <c r="AH61" i="1"/>
  <c r="AL58" i="1"/>
  <c r="AL9" i="1"/>
  <c r="H21" i="2"/>
  <c r="D43" i="2"/>
  <c r="D51" i="2" s="1"/>
  <c r="D32" i="2"/>
  <c r="E25" i="2"/>
  <c r="F36" i="28" l="1"/>
  <c r="N36" i="28" s="1"/>
  <c r="D30" i="35"/>
  <c r="F44" i="28"/>
  <c r="N44" i="28" s="1"/>
  <c r="F35" i="28"/>
  <c r="N35" i="28" s="1"/>
  <c r="F33" i="28"/>
  <c r="N33" i="28" s="1"/>
  <c r="F27" i="28"/>
  <c r="N27" i="28" s="1"/>
  <c r="M30" i="3"/>
  <c r="I30" i="3"/>
  <c r="H2" i="3"/>
  <c r="H11" i="3"/>
  <c r="E5" i="3"/>
  <c r="D5" i="3"/>
  <c r="H10" i="3"/>
  <c r="H6" i="3"/>
  <c r="H4" i="3"/>
  <c r="D10" i="3"/>
  <c r="D12" i="3" s="1"/>
  <c r="K28" i="3"/>
  <c r="S37" i="6"/>
  <c r="S23" i="6"/>
  <c r="S35" i="6"/>
  <c r="O34" i="3"/>
  <c r="G4" i="36"/>
  <c r="G70" i="36" s="1"/>
  <c r="H6" i="27"/>
  <c r="F5" i="36"/>
  <c r="F4" i="36"/>
  <c r="G6" i="27"/>
  <c r="W41" i="7"/>
  <c r="T46" i="7"/>
  <c r="W46" i="7" s="1"/>
  <c r="T45" i="7"/>
  <c r="W45" i="7" s="1"/>
  <c r="AB37" i="7"/>
  <c r="AB41" i="7" s="1"/>
  <c r="AA37" i="7"/>
  <c r="X41" i="7"/>
  <c r="AF53" i="5"/>
  <c r="AF55" i="5" s="1"/>
  <c r="C89" i="5"/>
  <c r="G26" i="27"/>
  <c r="G26" i="28" s="1"/>
  <c r="O26" i="28" s="1"/>
  <c r="AL79" i="1"/>
  <c r="AU79" i="1"/>
  <c r="AT79" i="1" s="1"/>
  <c r="AL59" i="1"/>
  <c r="AU61" i="1"/>
  <c r="AT61" i="1" s="1"/>
  <c r="AL61" i="1"/>
  <c r="P79" i="6"/>
  <c r="T79" i="6" s="1"/>
  <c r="T15" i="7"/>
  <c r="T96" i="7"/>
  <c r="O23" i="6"/>
  <c r="F26" i="28"/>
  <c r="N26" i="28" s="1"/>
  <c r="AC10" i="13"/>
  <c r="AC11" i="13"/>
  <c r="Y10" i="13"/>
  <c r="X10" i="13" s="1"/>
  <c r="Y11" i="13"/>
  <c r="X11" i="13" s="1"/>
  <c r="L11" i="4"/>
  <c r="H98" i="7"/>
  <c r="G82" i="4"/>
  <c r="D95" i="4"/>
  <c r="D94" i="6"/>
  <c r="D96" i="6" s="1"/>
  <c r="D84" i="6"/>
  <c r="K53" i="7"/>
  <c r="L95" i="7"/>
  <c r="L97" i="7" s="1"/>
  <c r="L29" i="6"/>
  <c r="G46" i="6"/>
  <c r="P24" i="6"/>
  <c r="P21" i="6"/>
  <c r="O21" i="6" s="1"/>
  <c r="K33" i="3"/>
  <c r="AL68" i="1"/>
  <c r="O63" i="4"/>
  <c r="AP68" i="1"/>
  <c r="AU68" i="1"/>
  <c r="AY68" i="1" s="1"/>
  <c r="BC68" i="1" s="1"/>
  <c r="AL74" i="1"/>
  <c r="O63" i="6"/>
  <c r="O71" i="6"/>
  <c r="S63" i="6"/>
  <c r="AL73" i="1"/>
  <c r="P61" i="6"/>
  <c r="T61" i="6" s="1"/>
  <c r="L80" i="6"/>
  <c r="P80" i="6" s="1"/>
  <c r="H81" i="6"/>
  <c r="AP59" i="1"/>
  <c r="AU59" i="1"/>
  <c r="AT59" i="1" s="1"/>
  <c r="AL60" i="1"/>
  <c r="AU77" i="1"/>
  <c r="AT77" i="1" s="1"/>
  <c r="AL76" i="1"/>
  <c r="AL77" i="1"/>
  <c r="AU78" i="1"/>
  <c r="AT78" i="1" s="1"/>
  <c r="AU76" i="1"/>
  <c r="AT76" i="1" s="1"/>
  <c r="AL78" i="1"/>
  <c r="AU73" i="1"/>
  <c r="AY73" i="1" s="1"/>
  <c r="AU69" i="1"/>
  <c r="AT69" i="1" s="1"/>
  <c r="AU60" i="1"/>
  <c r="AT60" i="1" s="1"/>
  <c r="P73" i="6"/>
  <c r="S73" i="6" s="1"/>
  <c r="O75" i="6"/>
  <c r="K72" i="3"/>
  <c r="G63" i="3"/>
  <c r="P69" i="6"/>
  <c r="S69" i="6" s="1"/>
  <c r="O88" i="5"/>
  <c r="K97" i="5"/>
  <c r="K108" i="5" s="1"/>
  <c r="K88" i="5"/>
  <c r="G88" i="5"/>
  <c r="Q97" i="5"/>
  <c r="Q108" i="5" s="1"/>
  <c r="Q113" i="5" s="1"/>
  <c r="AA9" i="7"/>
  <c r="S15" i="7"/>
  <c r="P53" i="7"/>
  <c r="X13" i="7"/>
  <c r="AA11" i="7"/>
  <c r="X30" i="7"/>
  <c r="W30" i="7" s="1"/>
  <c r="AB21" i="7"/>
  <c r="AA21" i="7" s="1"/>
  <c r="AA64" i="7"/>
  <c r="AB64" i="7"/>
  <c r="S13" i="7"/>
  <c r="X66" i="7"/>
  <c r="W66" i="7" s="1"/>
  <c r="AB59" i="7"/>
  <c r="AA59" i="7"/>
  <c r="AB79" i="7"/>
  <c r="AA79" i="7"/>
  <c r="AB62" i="7"/>
  <c r="AA62" i="7" s="1"/>
  <c r="AB72" i="7"/>
  <c r="AA72" i="7"/>
  <c r="AB13" i="7"/>
  <c r="W21" i="7"/>
  <c r="AA60" i="7"/>
  <c r="AB60" i="7"/>
  <c r="AA28" i="7"/>
  <c r="AB28" i="7"/>
  <c r="S82" i="7"/>
  <c r="AB46" i="7"/>
  <c r="AB45" i="7"/>
  <c r="AB71" i="7"/>
  <c r="AA71" i="7"/>
  <c r="AB75" i="7"/>
  <c r="AA75" i="7"/>
  <c r="AB80" i="7"/>
  <c r="AA80" i="7"/>
  <c r="AB76" i="7"/>
  <c r="AA76" i="7"/>
  <c r="O47" i="7"/>
  <c r="W11" i="7"/>
  <c r="AB78" i="7"/>
  <c r="AA78" i="7"/>
  <c r="L55" i="7"/>
  <c r="L85" i="7" s="1"/>
  <c r="L87" i="7" s="1"/>
  <c r="AB70" i="7"/>
  <c r="AA70" i="7"/>
  <c r="AA26" i="7"/>
  <c r="AB26" i="7"/>
  <c r="AB74" i="7"/>
  <c r="AA74" i="7"/>
  <c r="AB77" i="7"/>
  <c r="AA77" i="7"/>
  <c r="H7" i="7"/>
  <c r="H89" i="7" s="1"/>
  <c r="X82" i="7"/>
  <c r="AB69" i="7"/>
  <c r="T44" i="7"/>
  <c r="T49" i="7"/>
  <c r="S49" i="7" s="1"/>
  <c r="T50" i="7"/>
  <c r="T47" i="7"/>
  <c r="AB73" i="7"/>
  <c r="AA73" i="7"/>
  <c r="X3" i="7"/>
  <c r="AB1" i="7"/>
  <c r="AB3" i="7" s="1"/>
  <c r="G55" i="7"/>
  <c r="AL69" i="1"/>
  <c r="AL70" i="1"/>
  <c r="AU70" i="1"/>
  <c r="AT70" i="1" s="1"/>
  <c r="AU74" i="1"/>
  <c r="AT74" i="1" s="1"/>
  <c r="AU71" i="1"/>
  <c r="AT71" i="1" s="1"/>
  <c r="AX34" i="1"/>
  <c r="AQ48" i="1"/>
  <c r="G76" i="3"/>
  <c r="AQ43" i="1"/>
  <c r="AU40" i="1"/>
  <c r="BC38" i="1"/>
  <c r="BB38" i="1" s="1"/>
  <c r="BC26" i="1"/>
  <c r="BB26" i="1" s="1"/>
  <c r="BC33" i="1"/>
  <c r="BB33" i="1"/>
  <c r="AY50" i="1"/>
  <c r="AX50" i="1" s="1"/>
  <c r="AQ49" i="1"/>
  <c r="AQ44" i="1"/>
  <c r="AQ62" i="1"/>
  <c r="AU62" i="1" s="1"/>
  <c r="BB21" i="1"/>
  <c r="BC21" i="1"/>
  <c r="BC32" i="1"/>
  <c r="BB32" i="1" s="1"/>
  <c r="BC25" i="1"/>
  <c r="BB25" i="1" s="1"/>
  <c r="AX37" i="1"/>
  <c r="BB37" i="1"/>
  <c r="BC37" i="1"/>
  <c r="AY51" i="1"/>
  <c r="BC51" i="1" s="1"/>
  <c r="BB51" i="1" s="1"/>
  <c r="D67" i="2"/>
  <c r="D71" i="2"/>
  <c r="O77" i="6"/>
  <c r="AT27" i="1"/>
  <c r="AX25" i="1"/>
  <c r="BC22" i="1"/>
  <c r="BB22" i="1"/>
  <c r="AY36" i="1"/>
  <c r="AX36" i="1" s="1"/>
  <c r="AY24" i="1"/>
  <c r="AX24" i="1"/>
  <c r="AX27" i="1"/>
  <c r="BC27" i="1"/>
  <c r="BB27" i="1" s="1"/>
  <c r="AP24" i="1"/>
  <c r="AX35" i="1"/>
  <c r="AY35" i="1"/>
  <c r="AY40" i="1" s="1"/>
  <c r="T25" i="6"/>
  <c r="W25" i="6" s="1"/>
  <c r="T22" i="6"/>
  <c r="X22" i="6" s="1"/>
  <c r="W22" i="6" s="1"/>
  <c r="G29" i="6"/>
  <c r="G48" i="6"/>
  <c r="K21" i="6"/>
  <c r="P75" i="4"/>
  <c r="T75" i="4" s="1"/>
  <c r="K65" i="3"/>
  <c r="K71" i="3"/>
  <c r="T75" i="6"/>
  <c r="S75" i="6"/>
  <c r="X35" i="6"/>
  <c r="W35" i="6"/>
  <c r="P64" i="6"/>
  <c r="O64" i="6"/>
  <c r="O26" i="6"/>
  <c r="P26" i="6"/>
  <c r="P36" i="6"/>
  <c r="O36" i="6"/>
  <c r="T3" i="6"/>
  <c r="X1" i="6"/>
  <c r="O72" i="6"/>
  <c r="P72" i="6"/>
  <c r="P60" i="6"/>
  <c r="O60" i="6"/>
  <c r="O74" i="6"/>
  <c r="P74" i="6"/>
  <c r="X63" i="6"/>
  <c r="W63" i="6"/>
  <c r="K65" i="6"/>
  <c r="P62" i="6"/>
  <c r="O62" i="6"/>
  <c r="S33" i="6"/>
  <c r="T33" i="6"/>
  <c r="P38" i="6"/>
  <c r="O38" i="6"/>
  <c r="P32" i="6"/>
  <c r="L40" i="6"/>
  <c r="O32" i="6"/>
  <c r="P34" i="6"/>
  <c r="O34" i="6"/>
  <c r="W23" i="6"/>
  <c r="X23" i="6"/>
  <c r="T77" i="6"/>
  <c r="S77" i="6"/>
  <c r="H44" i="6"/>
  <c r="K44" i="6" s="1"/>
  <c r="G49" i="6"/>
  <c r="H45" i="6"/>
  <c r="K45" i="6" s="1"/>
  <c r="K40" i="6"/>
  <c r="P59" i="6"/>
  <c r="O59" i="6"/>
  <c r="T71" i="6"/>
  <c r="S71" i="6"/>
  <c r="X37" i="6"/>
  <c r="W37" i="6"/>
  <c r="O78" i="6"/>
  <c r="P78" i="6"/>
  <c r="O70" i="6"/>
  <c r="P70" i="6"/>
  <c r="L65" i="6"/>
  <c r="P58" i="6"/>
  <c r="O58" i="6"/>
  <c r="O76" i="6"/>
  <c r="P76" i="6"/>
  <c r="O68" i="6"/>
  <c r="P47" i="6"/>
  <c r="O47" i="6" s="1"/>
  <c r="T24" i="6"/>
  <c r="S24" i="6"/>
  <c r="K29" i="6"/>
  <c r="S34" i="4"/>
  <c r="W34" i="4"/>
  <c r="P79" i="4"/>
  <c r="T79" i="4" s="1"/>
  <c r="S79" i="4" s="1"/>
  <c r="P37" i="4"/>
  <c r="C11" i="5"/>
  <c r="H46" i="4"/>
  <c r="H45" i="4"/>
  <c r="G41" i="4"/>
  <c r="L77" i="4"/>
  <c r="L61" i="4"/>
  <c r="K61" i="4" s="1"/>
  <c r="P59" i="4"/>
  <c r="O59" i="4" s="1"/>
  <c r="S22" i="4"/>
  <c r="T22" i="4"/>
  <c r="P76" i="4"/>
  <c r="O76" i="4"/>
  <c r="T71" i="4"/>
  <c r="S71" i="4" s="1"/>
  <c r="P81" i="4"/>
  <c r="O81" i="4"/>
  <c r="T63" i="4"/>
  <c r="S63" i="4" s="1"/>
  <c r="P74" i="4"/>
  <c r="O74" i="4"/>
  <c r="L62" i="4"/>
  <c r="K62" i="4" s="1"/>
  <c r="K59" i="4"/>
  <c r="X25" i="4"/>
  <c r="S25" i="4"/>
  <c r="D13" i="4"/>
  <c r="AA34" i="4"/>
  <c r="AB34" i="4"/>
  <c r="L73" i="4"/>
  <c r="L23" i="4"/>
  <c r="K23" i="4"/>
  <c r="G61" i="4"/>
  <c r="L35" i="4"/>
  <c r="L41" i="4" s="1"/>
  <c r="K35" i="4"/>
  <c r="H82" i="4"/>
  <c r="L69" i="4"/>
  <c r="P64" i="4"/>
  <c r="O64" i="4"/>
  <c r="D55" i="4"/>
  <c r="P36" i="4"/>
  <c r="O36" i="4"/>
  <c r="H11" i="4"/>
  <c r="K9" i="4"/>
  <c r="G23" i="4"/>
  <c r="P80" i="4"/>
  <c r="P72" i="4"/>
  <c r="O72" i="4"/>
  <c r="L65" i="4"/>
  <c r="K65" i="4"/>
  <c r="K76" i="4"/>
  <c r="G77" i="4"/>
  <c r="P78" i="4"/>
  <c r="O78" i="4" s="1"/>
  <c r="P70" i="4"/>
  <c r="O70" i="4"/>
  <c r="K64" i="4"/>
  <c r="P52" i="4"/>
  <c r="T38" i="4"/>
  <c r="S38" i="4"/>
  <c r="H66" i="4"/>
  <c r="T26" i="4"/>
  <c r="H30" i="4"/>
  <c r="H49" i="4" s="1"/>
  <c r="K36" i="4"/>
  <c r="L13" i="4"/>
  <c r="L96" i="4" s="1"/>
  <c r="X21" i="4"/>
  <c r="W21" i="4"/>
  <c r="K72" i="4"/>
  <c r="P60" i="4"/>
  <c r="O60" i="4"/>
  <c r="G73" i="4"/>
  <c r="K74" i="4"/>
  <c r="G62" i="4"/>
  <c r="O71" i="4"/>
  <c r="P51" i="4"/>
  <c r="O51" i="4" s="1"/>
  <c r="P48" i="4"/>
  <c r="O48" i="4"/>
  <c r="T37" i="4"/>
  <c r="S37" i="4" s="1"/>
  <c r="P24" i="4"/>
  <c r="O24" i="4"/>
  <c r="P3" i="4"/>
  <c r="P9" i="4" s="1"/>
  <c r="O38" i="4"/>
  <c r="P33" i="4"/>
  <c r="P39" i="4"/>
  <c r="O39" i="4"/>
  <c r="L27" i="4"/>
  <c r="K27" i="4" s="1"/>
  <c r="O22" i="4"/>
  <c r="K10" i="4"/>
  <c r="G27" i="4"/>
  <c r="K80" i="3"/>
  <c r="K73" i="3"/>
  <c r="G80" i="3"/>
  <c r="K77" i="3"/>
  <c r="G64" i="3"/>
  <c r="G79" i="3"/>
  <c r="O69" i="3"/>
  <c r="K75" i="3"/>
  <c r="G36" i="3"/>
  <c r="G33" i="3"/>
  <c r="O23" i="3"/>
  <c r="L12" i="3"/>
  <c r="AP64" i="1"/>
  <c r="AQ64" i="1"/>
  <c r="AL72" i="1"/>
  <c r="AQ72" i="1"/>
  <c r="AL75" i="1"/>
  <c r="AQ75" i="1"/>
  <c r="AX58" i="1"/>
  <c r="BC58" i="1"/>
  <c r="BB58" i="1" s="1"/>
  <c r="AQ80" i="1"/>
  <c r="AP80" i="1"/>
  <c r="AQ63" i="1"/>
  <c r="AU63" i="1" s="1"/>
  <c r="AL71" i="1"/>
  <c r="K76" i="3"/>
  <c r="K74" i="3"/>
  <c r="T72" i="3"/>
  <c r="S72" i="3" s="1"/>
  <c r="K62" i="3"/>
  <c r="O79" i="3"/>
  <c r="O60" i="3"/>
  <c r="K39" i="3"/>
  <c r="O22" i="3"/>
  <c r="T33" i="3"/>
  <c r="S33" i="3" s="1"/>
  <c r="P27" i="3"/>
  <c r="O27" i="3" s="1"/>
  <c r="T26" i="3"/>
  <c r="S26" i="3" s="1"/>
  <c r="G25" i="3"/>
  <c r="O72" i="3"/>
  <c r="H82" i="3"/>
  <c r="K79" i="3"/>
  <c r="H66" i="3"/>
  <c r="G42" i="27" s="1"/>
  <c r="K59" i="3"/>
  <c r="G30" i="3"/>
  <c r="O38" i="3"/>
  <c r="O26" i="3"/>
  <c r="K78" i="3"/>
  <c r="T80" i="3"/>
  <c r="S80" i="3" s="1"/>
  <c r="T76" i="3"/>
  <c r="S76" i="3" s="1"/>
  <c r="L51" i="3"/>
  <c r="O36" i="3"/>
  <c r="T37" i="3"/>
  <c r="S37" i="3" s="1"/>
  <c r="G51" i="3"/>
  <c r="H41" i="3"/>
  <c r="L35" i="3"/>
  <c r="K35" i="3" s="1"/>
  <c r="L25" i="3"/>
  <c r="L44" i="3" s="1"/>
  <c r="K22" i="3"/>
  <c r="O33" i="3"/>
  <c r="T28" i="3"/>
  <c r="S28" i="3" s="1"/>
  <c r="O24" i="3"/>
  <c r="K70" i="3"/>
  <c r="O63" i="3"/>
  <c r="O65" i="3"/>
  <c r="K63" i="3"/>
  <c r="O80" i="3"/>
  <c r="G74" i="3"/>
  <c r="O76" i="3"/>
  <c r="G70" i="3"/>
  <c r="K61" i="3"/>
  <c r="D53" i="3"/>
  <c r="D95" i="3" s="1"/>
  <c r="O37" i="3"/>
  <c r="G39" i="3"/>
  <c r="K38" i="3"/>
  <c r="G35" i="3"/>
  <c r="K27" i="3"/>
  <c r="O28" i="3"/>
  <c r="P3" i="3"/>
  <c r="T1" i="3"/>
  <c r="T34" i="3"/>
  <c r="S34" i="3" s="1"/>
  <c r="BC15" i="1"/>
  <c r="BB15" i="1" s="1"/>
  <c r="BB11" i="1"/>
  <c r="BC13" i="1"/>
  <c r="BB13" i="1" s="1"/>
  <c r="AX11" i="1"/>
  <c r="AQ46" i="1"/>
  <c r="AU29" i="1"/>
  <c r="AQ47" i="1"/>
  <c r="AT40" i="1"/>
  <c r="AT11" i="1"/>
  <c r="AT13" i="1"/>
  <c r="AQ15" i="1"/>
  <c r="E43" i="2"/>
  <c r="E51" i="2" s="1"/>
  <c r="E32" i="2"/>
  <c r="I21" i="2"/>
  <c r="D26" i="35" l="1"/>
  <c r="AG30" i="35" s="1"/>
  <c r="AG31" i="35" s="1"/>
  <c r="D11" i="35"/>
  <c r="H6" i="28"/>
  <c r="P6" i="28" s="1"/>
  <c r="L14" i="3"/>
  <c r="M12" i="3"/>
  <c r="H4" i="36"/>
  <c r="E7" i="35"/>
  <c r="H12" i="3"/>
  <c r="H14" i="3" s="1"/>
  <c r="G7" i="27"/>
  <c r="O65" i="6"/>
  <c r="T21" i="6"/>
  <c r="S21" i="6" s="1"/>
  <c r="H12" i="27"/>
  <c r="K10" i="3"/>
  <c r="F70" i="36"/>
  <c r="G73" i="36"/>
  <c r="G77" i="36"/>
  <c r="G80" i="36" s="1"/>
  <c r="G84" i="36" s="1"/>
  <c r="G87" i="36" s="1"/>
  <c r="F6" i="27"/>
  <c r="E4" i="36"/>
  <c r="E70" i="36" s="1"/>
  <c r="X46" i="7"/>
  <c r="AA46" i="7" s="1"/>
  <c r="X45" i="7"/>
  <c r="AA45" i="7" s="1"/>
  <c r="AA41" i="7"/>
  <c r="AF110" i="5"/>
  <c r="H26" i="27"/>
  <c r="H26" i="28" s="1"/>
  <c r="P26" i="28" s="1"/>
  <c r="D97" i="6"/>
  <c r="D7" i="35"/>
  <c r="AG11" i="35" s="1"/>
  <c r="G44" i="27"/>
  <c r="S79" i="6"/>
  <c r="O80" i="6"/>
  <c r="AP62" i="1"/>
  <c r="L81" i="6"/>
  <c r="K81" i="6" s="1"/>
  <c r="AY79" i="1"/>
  <c r="AX79" i="1" s="1"/>
  <c r="S61" i="6"/>
  <c r="AY61" i="1"/>
  <c r="BC61" i="1" s="1"/>
  <c r="BB61" i="1" s="1"/>
  <c r="AB11" i="13"/>
  <c r="W13" i="7"/>
  <c r="X96" i="7"/>
  <c r="AB15" i="7"/>
  <c r="AB96" i="7"/>
  <c r="T73" i="6"/>
  <c r="X73" i="6" s="1"/>
  <c r="O10" i="3"/>
  <c r="G35" i="27"/>
  <c r="G27" i="27"/>
  <c r="G66" i="3"/>
  <c r="G42" i="28"/>
  <c r="O42" i="28" s="1"/>
  <c r="L96" i="3"/>
  <c r="G44" i="3"/>
  <c r="G33" i="27"/>
  <c r="G11" i="3"/>
  <c r="E38" i="2"/>
  <c r="G48" i="3"/>
  <c r="G37" i="27"/>
  <c r="G37" i="28" s="1"/>
  <c r="O37" i="28" s="1"/>
  <c r="K51" i="3"/>
  <c r="H41" i="27"/>
  <c r="H41" i="28" s="1"/>
  <c r="P41" i="28" s="1"/>
  <c r="AB10" i="13"/>
  <c r="X14" i="13"/>
  <c r="D97" i="4"/>
  <c r="D15" i="4"/>
  <c r="G15" i="4" s="1"/>
  <c r="D96" i="4"/>
  <c r="G13" i="4"/>
  <c r="D85" i="4"/>
  <c r="D87" i="4" s="1"/>
  <c r="D89" i="4" s="1"/>
  <c r="L98" i="7"/>
  <c r="W82" i="7"/>
  <c r="O53" i="7"/>
  <c r="P95" i="7"/>
  <c r="P97" i="7" s="1"/>
  <c r="G81" i="6"/>
  <c r="D86" i="6"/>
  <c r="D88" i="6" s="1"/>
  <c r="G82" i="3"/>
  <c r="P29" i="6"/>
  <c r="AX68" i="1"/>
  <c r="AY60" i="1"/>
  <c r="AX60" i="1" s="1"/>
  <c r="AY76" i="1"/>
  <c r="AX76" i="1" s="1"/>
  <c r="AY77" i="1"/>
  <c r="BC77" i="1" s="1"/>
  <c r="BB77" i="1" s="1"/>
  <c r="AT68" i="1"/>
  <c r="BB68" i="1"/>
  <c r="AY71" i="1"/>
  <c r="AX71" i="1" s="1"/>
  <c r="T69" i="6"/>
  <c r="W69" i="6" s="1"/>
  <c r="AQ65" i="1"/>
  <c r="AY70" i="1"/>
  <c r="BC70" i="1" s="1"/>
  <c r="BB70" i="1" s="1"/>
  <c r="AB82" i="7"/>
  <c r="AY69" i="1"/>
  <c r="AX69" i="1" s="1"/>
  <c r="AY78" i="1"/>
  <c r="BC78" i="1" s="1"/>
  <c r="BB78" i="1" s="1"/>
  <c r="AY59" i="1"/>
  <c r="AT73" i="1"/>
  <c r="O71" i="3"/>
  <c r="K69" i="3"/>
  <c r="G43" i="6"/>
  <c r="H52" i="6"/>
  <c r="G52" i="6" s="1"/>
  <c r="AA69" i="7"/>
  <c r="K85" i="7"/>
  <c r="T53" i="7"/>
  <c r="P55" i="7"/>
  <c r="G89" i="7"/>
  <c r="G85" i="7"/>
  <c r="AB30" i="7"/>
  <c r="AA30" i="7" s="1"/>
  <c r="AA13" i="7"/>
  <c r="S47" i="7"/>
  <c r="S50" i="7"/>
  <c r="X44" i="7"/>
  <c r="X50" i="7"/>
  <c r="X49" i="7"/>
  <c r="W49" i="7" s="1"/>
  <c r="X47" i="7"/>
  <c r="K55" i="7"/>
  <c r="AB66" i="7"/>
  <c r="AA66" i="7" s="1"/>
  <c r="X15" i="7"/>
  <c r="S44" i="7"/>
  <c r="AP63" i="1"/>
  <c r="AY74" i="1"/>
  <c r="AX74" i="1" s="1"/>
  <c r="BC35" i="1"/>
  <c r="BB35" i="1" s="1"/>
  <c r="AX51" i="1"/>
  <c r="AU46" i="1"/>
  <c r="AU48" i="1"/>
  <c r="AT48" i="1" s="1"/>
  <c r="AU44" i="1"/>
  <c r="AT44" i="1" s="1"/>
  <c r="AU49" i="1"/>
  <c r="AT49" i="1" s="1"/>
  <c r="AU45" i="1"/>
  <c r="AT45" i="1" s="1"/>
  <c r="AX40" i="1"/>
  <c r="E67" i="2"/>
  <c r="E71" i="2"/>
  <c r="S75" i="4"/>
  <c r="BC36" i="1"/>
  <c r="BB36" i="1" s="1"/>
  <c r="BC50" i="1"/>
  <c r="BB50" i="1"/>
  <c r="AU43" i="1"/>
  <c r="BC24" i="1"/>
  <c r="BC29" i="1" s="1"/>
  <c r="BC43" i="1" s="1"/>
  <c r="AY44" i="1"/>
  <c r="AX44" i="1" s="1"/>
  <c r="AY45" i="1"/>
  <c r="AY29" i="1"/>
  <c r="AY49" i="1" s="1"/>
  <c r="X25" i="6"/>
  <c r="AB25" i="6" s="1"/>
  <c r="S22" i="6"/>
  <c r="D15" i="6"/>
  <c r="O77" i="3"/>
  <c r="O75" i="3"/>
  <c r="G10" i="3"/>
  <c r="S68" i="6"/>
  <c r="P81" i="6"/>
  <c r="S80" i="6"/>
  <c r="T80" i="6"/>
  <c r="S36" i="6"/>
  <c r="T36" i="6"/>
  <c r="W79" i="6"/>
  <c r="X79" i="6"/>
  <c r="T47" i="6"/>
  <c r="S47" i="6" s="1"/>
  <c r="W71" i="6"/>
  <c r="X71" i="6"/>
  <c r="P40" i="6"/>
  <c r="S32" i="6"/>
  <c r="T32" i="6"/>
  <c r="S62" i="6"/>
  <c r="T62" i="6"/>
  <c r="T74" i="6"/>
  <c r="S74" i="6"/>
  <c r="X3" i="6"/>
  <c r="AB1" i="6"/>
  <c r="AB3" i="6" s="1"/>
  <c r="L43" i="6"/>
  <c r="K43" i="6" s="1"/>
  <c r="T76" i="6"/>
  <c r="S76" i="6"/>
  <c r="T59" i="6"/>
  <c r="S59" i="6"/>
  <c r="AB23" i="6"/>
  <c r="AA23" i="6"/>
  <c r="T38" i="6"/>
  <c r="S38" i="6"/>
  <c r="AB22" i="6"/>
  <c r="AA22" i="6" s="1"/>
  <c r="AA63" i="6"/>
  <c r="AB63" i="6"/>
  <c r="T70" i="6"/>
  <c r="S70" i="6"/>
  <c r="AB37" i="6"/>
  <c r="AA37" i="6"/>
  <c r="W77" i="6"/>
  <c r="X77" i="6"/>
  <c r="L49" i="6"/>
  <c r="L45" i="6"/>
  <c r="O45" i="6" s="1"/>
  <c r="O40" i="6"/>
  <c r="L44" i="6"/>
  <c r="O44" i="6" s="1"/>
  <c r="L46" i="6"/>
  <c r="L48" i="6"/>
  <c r="S60" i="6"/>
  <c r="T60" i="6"/>
  <c r="S64" i="6"/>
  <c r="T64" i="6"/>
  <c r="W75" i="6"/>
  <c r="X75" i="6"/>
  <c r="X24" i="6"/>
  <c r="W24" i="6"/>
  <c r="T72" i="6"/>
  <c r="S72" i="6"/>
  <c r="T26" i="6"/>
  <c r="S26" i="6"/>
  <c r="S58" i="6"/>
  <c r="P65" i="6"/>
  <c r="T58" i="6"/>
  <c r="T78" i="6"/>
  <c r="S78" i="6"/>
  <c r="X21" i="6"/>
  <c r="W21" i="6" s="1"/>
  <c r="T34" i="6"/>
  <c r="S34" i="6"/>
  <c r="X33" i="6"/>
  <c r="W33" i="6"/>
  <c r="X61" i="6"/>
  <c r="W61" i="6"/>
  <c r="AB35" i="6"/>
  <c r="AA35" i="6"/>
  <c r="C13" i="5"/>
  <c r="G49" i="4"/>
  <c r="T33" i="4"/>
  <c r="T80" i="4"/>
  <c r="S80" i="4" s="1"/>
  <c r="L45" i="4"/>
  <c r="K45" i="4" s="1"/>
  <c r="L46" i="4"/>
  <c r="K46" i="4" s="1"/>
  <c r="T3" i="4"/>
  <c r="T9" i="4" s="1"/>
  <c r="T52" i="4"/>
  <c r="S52" i="4" s="1"/>
  <c r="O80" i="4"/>
  <c r="H13" i="4"/>
  <c r="K11" i="4"/>
  <c r="P69" i="4"/>
  <c r="L82" i="4"/>
  <c r="P73" i="4"/>
  <c r="O73" i="4"/>
  <c r="X22" i="4"/>
  <c r="W22" i="4"/>
  <c r="P77" i="4"/>
  <c r="O77" i="4" s="1"/>
  <c r="P11" i="4"/>
  <c r="S9" i="4"/>
  <c r="O9" i="4"/>
  <c r="H44" i="4"/>
  <c r="P65" i="4"/>
  <c r="O65" i="4"/>
  <c r="AB25" i="4"/>
  <c r="AA25" i="4" s="1"/>
  <c r="P62" i="4"/>
  <c r="X63" i="4"/>
  <c r="X71" i="4"/>
  <c r="W71" i="4"/>
  <c r="X79" i="4"/>
  <c r="W79" i="4" s="1"/>
  <c r="H47" i="4"/>
  <c r="P27" i="4"/>
  <c r="S51" i="4"/>
  <c r="T51" i="4"/>
  <c r="T78" i="4"/>
  <c r="O33" i="4"/>
  <c r="L15" i="4"/>
  <c r="T59" i="4"/>
  <c r="S59" i="4" s="1"/>
  <c r="K41" i="4"/>
  <c r="X37" i="4"/>
  <c r="AB21" i="4"/>
  <c r="AA21" i="4"/>
  <c r="X26" i="4"/>
  <c r="W26" i="4" s="1"/>
  <c r="X38" i="4"/>
  <c r="W38" i="4"/>
  <c r="S36" i="4"/>
  <c r="T36" i="4"/>
  <c r="T64" i="4"/>
  <c r="S64" i="4"/>
  <c r="O23" i="4"/>
  <c r="P23" i="4"/>
  <c r="L30" i="4"/>
  <c r="L50" i="4" s="1"/>
  <c r="W25" i="4"/>
  <c r="P61" i="4"/>
  <c r="G46" i="4"/>
  <c r="G30" i="4"/>
  <c r="T39" i="4"/>
  <c r="S39" i="4"/>
  <c r="S24" i="4"/>
  <c r="T24" i="4"/>
  <c r="T48" i="4"/>
  <c r="S48" i="4"/>
  <c r="T60" i="4"/>
  <c r="S26" i="4"/>
  <c r="O52" i="4"/>
  <c r="S70" i="4"/>
  <c r="T70" i="4"/>
  <c r="T72" i="4"/>
  <c r="S72" i="4"/>
  <c r="K69" i="4"/>
  <c r="P35" i="4"/>
  <c r="K73" i="4"/>
  <c r="S74" i="4"/>
  <c r="T74" i="4"/>
  <c r="T81" i="4"/>
  <c r="S81" i="4"/>
  <c r="X75" i="4"/>
  <c r="T76" i="4"/>
  <c r="S76" i="4"/>
  <c r="L66" i="4"/>
  <c r="K77" i="4"/>
  <c r="G45" i="4"/>
  <c r="H50" i="4"/>
  <c r="O73" i="3"/>
  <c r="T23" i="3"/>
  <c r="S23" i="3" s="1"/>
  <c r="K25" i="3"/>
  <c r="O11" i="3"/>
  <c r="K11" i="3"/>
  <c r="AP75" i="1"/>
  <c r="AU75" i="1"/>
  <c r="AT63" i="1"/>
  <c r="AY63" i="1"/>
  <c r="AU47" i="1"/>
  <c r="AY47" i="1" s="1"/>
  <c r="AY62" i="1"/>
  <c r="AP72" i="1"/>
  <c r="AU72" i="1"/>
  <c r="AX61" i="1"/>
  <c r="AX73" i="1"/>
  <c r="BC73" i="1"/>
  <c r="BB73" i="1" s="1"/>
  <c r="AT80" i="1"/>
  <c r="AU80" i="1"/>
  <c r="BC60" i="1"/>
  <c r="BB60" i="1" s="1"/>
  <c r="AU64" i="1"/>
  <c r="AU65" i="1" s="1"/>
  <c r="AT64" i="1"/>
  <c r="AQ81" i="1"/>
  <c r="K30" i="3"/>
  <c r="D55" i="3"/>
  <c r="L16" i="3"/>
  <c r="M16" i="3" s="1"/>
  <c r="P35" i="3"/>
  <c r="O35" i="3" s="1"/>
  <c r="X37" i="3"/>
  <c r="W37" i="3" s="1"/>
  <c r="P51" i="3"/>
  <c r="I41" i="27" s="1"/>
  <c r="I41" i="28" s="1"/>
  <c r="Q41" i="28" s="1"/>
  <c r="L48" i="3"/>
  <c r="O39" i="3"/>
  <c r="T79" i="3"/>
  <c r="S79" i="3" s="1"/>
  <c r="T69" i="3"/>
  <c r="S69" i="3" s="1"/>
  <c r="X1" i="3"/>
  <c r="T3" i="3"/>
  <c r="T10" i="3" s="1"/>
  <c r="S10" i="3" s="1"/>
  <c r="T63" i="3"/>
  <c r="G36" i="27"/>
  <c r="G39" i="27"/>
  <c r="G39" i="28" s="1"/>
  <c r="O39" i="28" s="1"/>
  <c r="G38" i="27"/>
  <c r="G38" i="28" s="1"/>
  <c r="O38" i="28" s="1"/>
  <c r="G34" i="27"/>
  <c r="G41" i="3"/>
  <c r="T64" i="3"/>
  <c r="S64" i="3" s="1"/>
  <c r="O78" i="3"/>
  <c r="L66" i="3"/>
  <c r="O59" i="3"/>
  <c r="X33" i="3"/>
  <c r="L82" i="3"/>
  <c r="P12" i="3"/>
  <c r="S65" i="3"/>
  <c r="T65" i="3"/>
  <c r="T24" i="3"/>
  <c r="X28" i="3"/>
  <c r="W28" i="3" s="1"/>
  <c r="P25" i="3"/>
  <c r="T36" i="3"/>
  <c r="S36" i="3" s="1"/>
  <c r="O64" i="3"/>
  <c r="X76" i="3"/>
  <c r="W76" i="3" s="1"/>
  <c r="T38" i="3"/>
  <c r="T27" i="3"/>
  <c r="T60" i="3"/>
  <c r="S60" i="3" s="1"/>
  <c r="O62" i="3"/>
  <c r="X34" i="3"/>
  <c r="W34" i="3"/>
  <c r="O70" i="3"/>
  <c r="X80" i="3"/>
  <c r="W80" i="3" s="1"/>
  <c r="X26" i="3"/>
  <c r="W26" i="3" s="1"/>
  <c r="T22" i="3"/>
  <c r="S22" i="3" s="1"/>
  <c r="X72" i="3"/>
  <c r="AX13" i="1"/>
  <c r="AY15" i="1"/>
  <c r="AT62" i="1"/>
  <c r="AT46" i="1"/>
  <c r="AT29" i="1"/>
  <c r="AQ52" i="1"/>
  <c r="AP47" i="1"/>
  <c r="AU15" i="1"/>
  <c r="AT15" i="1" s="1"/>
  <c r="J21" i="2"/>
  <c r="F43" i="2"/>
  <c r="F51" i="2" s="1"/>
  <c r="P26" i="35" l="1"/>
  <c r="P30" i="35" s="1"/>
  <c r="AG12" i="35"/>
  <c r="G36" i="28"/>
  <c r="O36" i="28" s="1"/>
  <c r="G33" i="28"/>
  <c r="O33" i="28" s="1"/>
  <c r="G44" i="28"/>
  <c r="O44" i="28" s="1"/>
  <c r="G35" i="28"/>
  <c r="O35" i="28" s="1"/>
  <c r="G34" i="28"/>
  <c r="O34" i="28" s="1"/>
  <c r="F12" i="27"/>
  <c r="F7" i="35"/>
  <c r="T7" i="35" s="1"/>
  <c r="T12" i="35" s="1"/>
  <c r="P14" i="3"/>
  <c r="Q12" i="3"/>
  <c r="O29" i="6"/>
  <c r="P43" i="6"/>
  <c r="BC71" i="1"/>
  <c r="BB71" i="1" s="1"/>
  <c r="BC79" i="1"/>
  <c r="BB79" i="1" s="1"/>
  <c r="BC76" i="1"/>
  <c r="BB76" i="1" s="1"/>
  <c r="E8" i="35"/>
  <c r="AH11" i="35"/>
  <c r="R7" i="35"/>
  <c r="L45" i="3"/>
  <c r="L46" i="3"/>
  <c r="H35" i="27" s="1"/>
  <c r="L47" i="3"/>
  <c r="H42" i="27"/>
  <c r="H42" i="28" s="1"/>
  <c r="P42" i="28" s="1"/>
  <c r="S65" i="6"/>
  <c r="F6" i="28"/>
  <c r="N6" i="28" s="1"/>
  <c r="F77" i="36"/>
  <c r="F80" i="36" s="1"/>
  <c r="F84" i="36" s="1"/>
  <c r="F87" i="36" s="1"/>
  <c r="F73" i="36"/>
  <c r="E77" i="36"/>
  <c r="E80" i="36" s="1"/>
  <c r="E84" i="36" s="1"/>
  <c r="E87" i="36" s="1"/>
  <c r="E73" i="36"/>
  <c r="I26" i="27"/>
  <c r="I26" i="28" s="1"/>
  <c r="Q26" i="28" s="1"/>
  <c r="H44" i="27"/>
  <c r="P7" i="35"/>
  <c r="P13" i="35" s="1"/>
  <c r="T11" i="35"/>
  <c r="BC69" i="1"/>
  <c r="X69" i="6"/>
  <c r="AB69" i="6" s="1"/>
  <c r="W73" i="6"/>
  <c r="AB14" i="13"/>
  <c r="AA14" i="13" s="1"/>
  <c r="O43" i="6"/>
  <c r="H96" i="3"/>
  <c r="G27" i="28"/>
  <c r="O27" i="28" s="1"/>
  <c r="K66" i="3"/>
  <c r="K44" i="3"/>
  <c r="H33" i="27"/>
  <c r="K41" i="3"/>
  <c r="H27" i="27"/>
  <c r="D96" i="3"/>
  <c r="D97" i="3" s="1"/>
  <c r="F48" i="27"/>
  <c r="K48" i="3"/>
  <c r="H37" i="27"/>
  <c r="H37" i="28" s="1"/>
  <c r="P37" i="28" s="1"/>
  <c r="D85" i="3"/>
  <c r="D87" i="3" s="1"/>
  <c r="G7" i="28"/>
  <c r="O7" i="28" s="1"/>
  <c r="X18" i="13"/>
  <c r="X106" i="13"/>
  <c r="W14" i="13"/>
  <c r="K13" i="4"/>
  <c r="H96" i="4"/>
  <c r="D98" i="4"/>
  <c r="G85" i="4"/>
  <c r="K82" i="4"/>
  <c r="O81" i="6"/>
  <c r="O55" i="7"/>
  <c r="P85" i="7"/>
  <c r="P87" i="7" s="1"/>
  <c r="H94" i="6"/>
  <c r="S53" i="7"/>
  <c r="T95" i="7"/>
  <c r="T97" i="7" s="1"/>
  <c r="AA82" i="7"/>
  <c r="AA25" i="6"/>
  <c r="T29" i="6"/>
  <c r="S29" i="6" s="1"/>
  <c r="G12" i="3"/>
  <c r="AX70" i="1"/>
  <c r="AX78" i="1"/>
  <c r="AX77" i="1"/>
  <c r="AT65" i="1"/>
  <c r="AX59" i="1"/>
  <c r="BC59" i="1"/>
  <c r="BB59" i="1" s="1"/>
  <c r="AU52" i="1"/>
  <c r="AU54" i="1" s="1"/>
  <c r="P66" i="4"/>
  <c r="BC74" i="1"/>
  <c r="BB74" i="1" s="1"/>
  <c r="G87" i="4"/>
  <c r="G14" i="3"/>
  <c r="T77" i="3"/>
  <c r="S77" i="3" s="1"/>
  <c r="T71" i="3"/>
  <c r="S71" i="3" s="1"/>
  <c r="T75" i="3"/>
  <c r="S75" i="3" s="1"/>
  <c r="K12" i="3"/>
  <c r="AF13" i="5"/>
  <c r="AF85" i="5" s="1"/>
  <c r="AF97" i="5" s="1"/>
  <c r="C85" i="5"/>
  <c r="C88" i="5" s="1"/>
  <c r="G87" i="7"/>
  <c r="X53" i="7"/>
  <c r="L7" i="7"/>
  <c r="L89" i="7" s="1"/>
  <c r="AB44" i="7"/>
  <c r="AB49" i="7"/>
  <c r="AA49" i="7" s="1"/>
  <c r="AB47" i="7"/>
  <c r="AA47" i="7" s="1"/>
  <c r="AB50" i="7"/>
  <c r="AA50" i="7" s="1"/>
  <c r="W47" i="7"/>
  <c r="W50" i="7"/>
  <c r="W44" i="7"/>
  <c r="T55" i="7"/>
  <c r="AA15" i="7"/>
  <c r="W15" i="7"/>
  <c r="AX49" i="1"/>
  <c r="F67" i="2"/>
  <c r="F71" i="2"/>
  <c r="AX45" i="1"/>
  <c r="AX29" i="1"/>
  <c r="BB24" i="1"/>
  <c r="AY43" i="1"/>
  <c r="BB43" i="1" s="1"/>
  <c r="BB29" i="1"/>
  <c r="AY46" i="1"/>
  <c r="AY48" i="1"/>
  <c r="BC40" i="1"/>
  <c r="H7" i="6"/>
  <c r="K46" i="6"/>
  <c r="K49" i="6"/>
  <c r="K48" i="6"/>
  <c r="AB77" i="6"/>
  <c r="AA77" i="6"/>
  <c r="AA61" i="6"/>
  <c r="AB61" i="6"/>
  <c r="AB33" i="6"/>
  <c r="AA33" i="6"/>
  <c r="X26" i="6"/>
  <c r="W26" i="6"/>
  <c r="X59" i="6"/>
  <c r="W59" i="6"/>
  <c r="W34" i="6"/>
  <c r="X34" i="6"/>
  <c r="AB21" i="6"/>
  <c r="X58" i="6"/>
  <c r="W58" i="6"/>
  <c r="T65" i="6"/>
  <c r="W65" i="6" s="1"/>
  <c r="X72" i="6"/>
  <c r="W72" i="6"/>
  <c r="AA24" i="6"/>
  <c r="AB24" i="6"/>
  <c r="X70" i="6"/>
  <c r="W70" i="6"/>
  <c r="X62" i="6"/>
  <c r="W62" i="6"/>
  <c r="P49" i="6"/>
  <c r="O49" i="6" s="1"/>
  <c r="P45" i="6"/>
  <c r="S45" i="6" s="1"/>
  <c r="P48" i="6"/>
  <c r="P46" i="6"/>
  <c r="O46" i="6" s="1"/>
  <c r="P44" i="6"/>
  <c r="S44" i="6" s="1"/>
  <c r="S40" i="6"/>
  <c r="X60" i="6"/>
  <c r="W60" i="6"/>
  <c r="AB71" i="6"/>
  <c r="AA71" i="6"/>
  <c r="AB79" i="6"/>
  <c r="AA79" i="6"/>
  <c r="X80" i="6"/>
  <c r="W80" i="6"/>
  <c r="W68" i="6"/>
  <c r="T81" i="6"/>
  <c r="AB75" i="6"/>
  <c r="AA75" i="6"/>
  <c r="T40" i="6"/>
  <c r="W32" i="6"/>
  <c r="X32" i="6"/>
  <c r="H54" i="6"/>
  <c r="X29" i="6"/>
  <c r="W38" i="6"/>
  <c r="X38" i="6"/>
  <c r="AA69" i="6"/>
  <c r="X78" i="6"/>
  <c r="W78" i="6"/>
  <c r="X64" i="6"/>
  <c r="W64" i="6"/>
  <c r="AB73" i="6"/>
  <c r="AA73" i="6"/>
  <c r="X76" i="6"/>
  <c r="W76" i="6"/>
  <c r="L52" i="6"/>
  <c r="X74" i="6"/>
  <c r="W74" i="6"/>
  <c r="X47" i="6"/>
  <c r="W47" i="6" s="1"/>
  <c r="W36" i="6"/>
  <c r="X36" i="6"/>
  <c r="L47" i="4"/>
  <c r="K47" i="4" s="1"/>
  <c r="H15" i="4"/>
  <c r="C15" i="5"/>
  <c r="W60" i="4"/>
  <c r="X60" i="4"/>
  <c r="X78" i="4"/>
  <c r="AA63" i="4"/>
  <c r="AB63" i="4"/>
  <c r="W81" i="4"/>
  <c r="X81" i="4"/>
  <c r="K50" i="4"/>
  <c r="G50" i="4"/>
  <c r="O66" i="4"/>
  <c r="AB75" i="4"/>
  <c r="AA75" i="4"/>
  <c r="T35" i="4"/>
  <c r="T41" i="4" s="1"/>
  <c r="S35" i="4"/>
  <c r="X70" i="4"/>
  <c r="W70" i="4"/>
  <c r="S60" i="4"/>
  <c r="X24" i="4"/>
  <c r="S61" i="4"/>
  <c r="T61" i="4"/>
  <c r="T23" i="4"/>
  <c r="P30" i="4"/>
  <c r="O30" i="4" s="1"/>
  <c r="X36" i="4"/>
  <c r="W36" i="4"/>
  <c r="W63" i="4"/>
  <c r="H53" i="4"/>
  <c r="H95" i="4" s="1"/>
  <c r="G44" i="4"/>
  <c r="AB3" i="4"/>
  <c r="AB9" i="4" s="1"/>
  <c r="AB11" i="4" s="1"/>
  <c r="X3" i="4"/>
  <c r="X9" i="4" s="1"/>
  <c r="X33" i="4"/>
  <c r="AB37" i="4"/>
  <c r="AA37" i="4"/>
  <c r="AB79" i="4"/>
  <c r="AA79" i="4"/>
  <c r="T77" i="4"/>
  <c r="S77" i="4"/>
  <c r="P82" i="4"/>
  <c r="T69" i="4"/>
  <c r="X52" i="4"/>
  <c r="W52" i="4" s="1"/>
  <c r="T11" i="4"/>
  <c r="W9" i="4"/>
  <c r="X80" i="4"/>
  <c r="W80" i="4" s="1"/>
  <c r="P41" i="4"/>
  <c r="AB26" i="4"/>
  <c r="AA26" i="4" s="1"/>
  <c r="X76" i="4"/>
  <c r="W76" i="4"/>
  <c r="W37" i="4"/>
  <c r="S78" i="4"/>
  <c r="X59" i="4"/>
  <c r="W59" i="4" s="1"/>
  <c r="T27" i="4"/>
  <c r="O27" i="4"/>
  <c r="S62" i="4"/>
  <c r="T62" i="4"/>
  <c r="T65" i="4"/>
  <c r="S65" i="4"/>
  <c r="T73" i="4"/>
  <c r="K66" i="4"/>
  <c r="W75" i="4"/>
  <c r="X74" i="4"/>
  <c r="W74" i="4"/>
  <c r="O35" i="4"/>
  <c r="X72" i="4"/>
  <c r="X48" i="4"/>
  <c r="W48" i="4" s="1"/>
  <c r="W39" i="4"/>
  <c r="X39" i="4"/>
  <c r="O61" i="4"/>
  <c r="L44" i="4"/>
  <c r="X64" i="4"/>
  <c r="W64" i="4"/>
  <c r="AB38" i="4"/>
  <c r="AA38" i="4" s="1"/>
  <c r="X51" i="4"/>
  <c r="W51" i="4" s="1"/>
  <c r="G47" i="4"/>
  <c r="AB71" i="4"/>
  <c r="AA71" i="4" s="1"/>
  <c r="O62" i="4"/>
  <c r="K30" i="4"/>
  <c r="P13" i="4"/>
  <c r="P96" i="4" s="1"/>
  <c r="O11" i="4"/>
  <c r="AB22" i="4"/>
  <c r="O69" i="4"/>
  <c r="L49" i="4"/>
  <c r="S33" i="4"/>
  <c r="T73" i="3"/>
  <c r="S73" i="3" s="1"/>
  <c r="X23" i="3"/>
  <c r="W23" i="3" s="1"/>
  <c r="K14" i="3"/>
  <c r="AX80" i="1"/>
  <c r="AY80" i="1"/>
  <c r="BB69" i="1"/>
  <c r="BC62" i="1"/>
  <c r="AT72" i="1"/>
  <c r="AY72" i="1"/>
  <c r="AU81" i="1"/>
  <c r="AX62" i="1"/>
  <c r="AX47" i="1"/>
  <c r="BC47" i="1"/>
  <c r="AT75" i="1"/>
  <c r="AY75" i="1"/>
  <c r="AT47" i="1"/>
  <c r="AY64" i="1"/>
  <c r="AX64" i="1"/>
  <c r="AX63" i="1"/>
  <c r="BC63" i="1"/>
  <c r="BB63" i="1" s="1"/>
  <c r="H16" i="3"/>
  <c r="K16" i="3" s="1"/>
  <c r="P44" i="3"/>
  <c r="T74" i="3"/>
  <c r="S74" i="3" s="1"/>
  <c r="X38" i="3"/>
  <c r="W38" i="3" s="1"/>
  <c r="AB72" i="3"/>
  <c r="AA72" i="3" s="1"/>
  <c r="T62" i="3"/>
  <c r="X65" i="3"/>
  <c r="W65" i="3"/>
  <c r="O74" i="3"/>
  <c r="AB33" i="3"/>
  <c r="AA33" i="3" s="1"/>
  <c r="G45" i="3"/>
  <c r="G46" i="3"/>
  <c r="X69" i="3"/>
  <c r="W69" i="3" s="1"/>
  <c r="X79" i="3"/>
  <c r="W79" i="3" s="1"/>
  <c r="AB28" i="3"/>
  <c r="AA28" i="3" s="1"/>
  <c r="G47" i="3"/>
  <c r="AB37" i="3"/>
  <c r="AA37" i="3" s="1"/>
  <c r="AB26" i="3"/>
  <c r="AA26" i="3" s="1"/>
  <c r="AA34" i="3"/>
  <c r="AB34" i="3"/>
  <c r="X27" i="3"/>
  <c r="W27" i="3" s="1"/>
  <c r="X24" i="3"/>
  <c r="W24" i="3" s="1"/>
  <c r="T78" i="3"/>
  <c r="S78" i="3" s="1"/>
  <c r="G49" i="3"/>
  <c r="X63" i="3"/>
  <c r="W63" i="3" s="1"/>
  <c r="T12" i="3"/>
  <c r="P82" i="3"/>
  <c r="T39" i="3"/>
  <c r="T51" i="3"/>
  <c r="S51" i="3" s="1"/>
  <c r="L50" i="3"/>
  <c r="L49" i="3"/>
  <c r="H38" i="27" s="1"/>
  <c r="H38" i="28" s="1"/>
  <c r="P38" i="28" s="1"/>
  <c r="O30" i="3"/>
  <c r="AB80" i="3"/>
  <c r="AA80" i="3" s="1"/>
  <c r="X36" i="3"/>
  <c r="W36" i="3" s="1"/>
  <c r="AB76" i="3"/>
  <c r="AA76" i="3" s="1"/>
  <c r="T25" i="3"/>
  <c r="T30" i="3" s="1"/>
  <c r="S30" i="3" s="1"/>
  <c r="T61" i="3"/>
  <c r="S61" i="3" s="1"/>
  <c r="X64" i="3"/>
  <c r="W64" i="3" s="1"/>
  <c r="W72" i="3"/>
  <c r="X22" i="3"/>
  <c r="W22" i="3" s="1"/>
  <c r="T70" i="3"/>
  <c r="H53" i="3"/>
  <c r="H95" i="3" s="1"/>
  <c r="X60" i="3"/>
  <c r="S27" i="3"/>
  <c r="S38" i="3"/>
  <c r="O25" i="3"/>
  <c r="S24" i="3"/>
  <c r="D16" i="3"/>
  <c r="O61" i="3"/>
  <c r="W33" i="3"/>
  <c r="P66" i="3"/>
  <c r="Q66" i="3" s="1"/>
  <c r="T59" i="3"/>
  <c r="S59" i="3" s="1"/>
  <c r="G50" i="3"/>
  <c r="S63" i="3"/>
  <c r="AB1" i="3"/>
  <c r="AB3" i="3" s="1"/>
  <c r="AB10" i="3" s="1"/>
  <c r="AB12" i="3" s="1"/>
  <c r="X3" i="3"/>
  <c r="X10" i="3" s="1"/>
  <c r="K82" i="3"/>
  <c r="P48" i="3"/>
  <c r="I37" i="27" s="1"/>
  <c r="I37" i="28" s="1"/>
  <c r="Q37" i="28" s="1"/>
  <c r="O51" i="3"/>
  <c r="T35" i="3"/>
  <c r="S35" i="3" s="1"/>
  <c r="P41" i="3"/>
  <c r="O12" i="3"/>
  <c r="AX15" i="1"/>
  <c r="AT43" i="1"/>
  <c r="AQ54" i="1"/>
  <c r="AT54" i="1" s="1"/>
  <c r="K21" i="2"/>
  <c r="G43" i="2"/>
  <c r="G51" i="2" s="1"/>
  <c r="P28" i="35" l="1"/>
  <c r="P31" i="35"/>
  <c r="P32" i="35"/>
  <c r="P29" i="35"/>
  <c r="T9" i="35"/>
  <c r="T13" i="35"/>
  <c r="AI11" i="35"/>
  <c r="T10" i="35"/>
  <c r="F8" i="35"/>
  <c r="E11" i="35"/>
  <c r="E14" i="35" s="1"/>
  <c r="E30" i="35"/>
  <c r="E33" i="35" s="1"/>
  <c r="H33" i="28"/>
  <c r="P33" i="28" s="1"/>
  <c r="H27" i="28"/>
  <c r="P27" i="28" s="1"/>
  <c r="F23" i="27"/>
  <c r="H44" i="28"/>
  <c r="P44" i="28" s="1"/>
  <c r="H35" i="28"/>
  <c r="P35" i="28" s="1"/>
  <c r="F12" i="28"/>
  <c r="N12" i="28" s="1"/>
  <c r="E26" i="35"/>
  <c r="E27" i="35" s="1"/>
  <c r="R11" i="35"/>
  <c r="R13" i="35"/>
  <c r="R9" i="35"/>
  <c r="R10" i="35"/>
  <c r="R12" i="35"/>
  <c r="I42" i="27"/>
  <c r="AB106" i="13"/>
  <c r="AA106" i="13" s="1"/>
  <c r="P11" i="35"/>
  <c r="H97" i="3"/>
  <c r="AB18" i="13"/>
  <c r="AA18" i="13" s="1"/>
  <c r="AF87" i="5"/>
  <c r="AF89" i="5" s="1"/>
  <c r="AF15" i="5"/>
  <c r="I44" i="27"/>
  <c r="I27" i="27"/>
  <c r="J26" i="27"/>
  <c r="J26" i="28" s="1"/>
  <c r="J49" i="28" s="1"/>
  <c r="P10" i="35"/>
  <c r="P9" i="35"/>
  <c r="P12" i="35"/>
  <c r="G7" i="35"/>
  <c r="H7" i="35" s="1"/>
  <c r="O85" i="7"/>
  <c r="K47" i="3"/>
  <c r="H36" i="27"/>
  <c r="O66" i="3"/>
  <c r="K50" i="3"/>
  <c r="H39" i="27"/>
  <c r="H39" i="28" s="1"/>
  <c r="P39" i="28" s="1"/>
  <c r="O44" i="3"/>
  <c r="I33" i="27"/>
  <c r="K45" i="3"/>
  <c r="H34" i="27"/>
  <c r="D98" i="3"/>
  <c r="F48" i="28"/>
  <c r="N48" i="28" s="1"/>
  <c r="W106" i="13"/>
  <c r="W18" i="13"/>
  <c r="P98" i="7"/>
  <c r="H97" i="4"/>
  <c r="W53" i="7"/>
  <c r="X95" i="7"/>
  <c r="X97" i="7" s="1"/>
  <c r="S55" i="7"/>
  <c r="T85" i="7"/>
  <c r="T87" i="7" s="1"/>
  <c r="P16" i="3"/>
  <c r="P96" i="3"/>
  <c r="K52" i="6"/>
  <c r="L94" i="6"/>
  <c r="S81" i="6"/>
  <c r="AA21" i="6"/>
  <c r="X75" i="3"/>
  <c r="W75" i="3" s="1"/>
  <c r="S12" i="3"/>
  <c r="AT52" i="1"/>
  <c r="X71" i="3"/>
  <c r="W71" i="3" s="1"/>
  <c r="H7" i="4"/>
  <c r="G89" i="4"/>
  <c r="X77" i="3"/>
  <c r="AB77" i="3" s="1"/>
  <c r="AA77" i="3" s="1"/>
  <c r="X73" i="3"/>
  <c r="W73" i="3" s="1"/>
  <c r="C90" i="5"/>
  <c r="C91" i="5" s="1"/>
  <c r="C97" i="5"/>
  <c r="AG85" i="5"/>
  <c r="G54" i="6"/>
  <c r="K87" i="7"/>
  <c r="O87" i="7"/>
  <c r="AB53" i="7"/>
  <c r="AA44" i="7"/>
  <c r="X55" i="7"/>
  <c r="X85" i="7" s="1"/>
  <c r="X87" i="7" s="1"/>
  <c r="K89" i="7"/>
  <c r="AY52" i="1"/>
  <c r="AX52" i="1" s="1"/>
  <c r="AX46" i="1"/>
  <c r="G67" i="2"/>
  <c r="G71" i="2"/>
  <c r="BC46" i="1"/>
  <c r="BB46" i="1" s="1"/>
  <c r="BC45" i="1"/>
  <c r="BB45" i="1" s="1"/>
  <c r="BC48" i="1"/>
  <c r="BB48" i="1" s="1"/>
  <c r="BC44" i="1"/>
  <c r="BB44" i="1" s="1"/>
  <c r="BC49" i="1"/>
  <c r="BB49" i="1" s="1"/>
  <c r="BB40" i="1"/>
  <c r="AX48" i="1"/>
  <c r="AX43" i="1"/>
  <c r="W29" i="6"/>
  <c r="T43" i="6"/>
  <c r="S43" i="6" s="1"/>
  <c r="O48" i="6"/>
  <c r="G16" i="3"/>
  <c r="AB47" i="6"/>
  <c r="AA47" i="6" s="1"/>
  <c r="AB80" i="6"/>
  <c r="AA80" i="6"/>
  <c r="P52" i="6"/>
  <c r="AB78" i="6"/>
  <c r="AA78" i="6"/>
  <c r="AB74" i="6"/>
  <c r="AA74" i="6"/>
  <c r="AB76" i="6"/>
  <c r="AA76" i="6"/>
  <c r="AB64" i="6"/>
  <c r="AA64" i="6"/>
  <c r="AA32" i="6"/>
  <c r="X40" i="6"/>
  <c r="AB32" i="6"/>
  <c r="AA59" i="6"/>
  <c r="AB59" i="6"/>
  <c r="AB60" i="6"/>
  <c r="AA60" i="6"/>
  <c r="L54" i="6"/>
  <c r="AA38" i="6"/>
  <c r="AB38" i="6"/>
  <c r="T48" i="6"/>
  <c r="S48" i="6" s="1"/>
  <c r="T46" i="6"/>
  <c r="T44" i="6"/>
  <c r="W44" i="6" s="1"/>
  <c r="W40" i="6"/>
  <c r="T49" i="6"/>
  <c r="T45" i="6"/>
  <c r="W45" i="6" s="1"/>
  <c r="AB62" i="6"/>
  <c r="AA62" i="6"/>
  <c r="X65" i="6"/>
  <c r="AA65" i="6" s="1"/>
  <c r="AB58" i="6"/>
  <c r="AA58" i="6"/>
  <c r="AA34" i="6"/>
  <c r="AB34" i="6"/>
  <c r="AA36" i="6"/>
  <c r="AB36" i="6"/>
  <c r="X81" i="6"/>
  <c r="AB68" i="6"/>
  <c r="AA68" i="6" s="1"/>
  <c r="AB70" i="6"/>
  <c r="AA70" i="6"/>
  <c r="AB72" i="6"/>
  <c r="AA72" i="6"/>
  <c r="AA26" i="6"/>
  <c r="AB26" i="6"/>
  <c r="AB23" i="3"/>
  <c r="AA23" i="3" s="1"/>
  <c r="K15" i="4"/>
  <c r="AA72" i="4"/>
  <c r="AB72" i="4"/>
  <c r="X27" i="4"/>
  <c r="P49" i="4"/>
  <c r="O49" i="4" s="1"/>
  <c r="P50" i="4"/>
  <c r="P47" i="4"/>
  <c r="P45" i="4"/>
  <c r="S41" i="4"/>
  <c r="P46" i="4"/>
  <c r="O41" i="4"/>
  <c r="T82" i="4"/>
  <c r="X69" i="4"/>
  <c r="AB33" i="4"/>
  <c r="AA33" i="4"/>
  <c r="AB13" i="4"/>
  <c r="H55" i="4"/>
  <c r="H85" i="4" s="1"/>
  <c r="H87" i="4" s="1"/>
  <c r="H89" i="4" s="1"/>
  <c r="G53" i="4"/>
  <c r="X23" i="4"/>
  <c r="W23" i="4"/>
  <c r="T30" i="4"/>
  <c r="T49" i="4" s="1"/>
  <c r="AA24" i="4"/>
  <c r="AB24" i="4"/>
  <c r="AB78" i="4"/>
  <c r="AA78" i="4" s="1"/>
  <c r="O13" i="4"/>
  <c r="W73" i="4"/>
  <c r="X73" i="4"/>
  <c r="T13" i="4"/>
  <c r="K49" i="4"/>
  <c r="AA22" i="4"/>
  <c r="P15" i="4"/>
  <c r="L53" i="4"/>
  <c r="L95" i="4" s="1"/>
  <c r="L97" i="4" s="1"/>
  <c r="AA76" i="4"/>
  <c r="AB76" i="4"/>
  <c r="W33" i="4"/>
  <c r="O82" i="4"/>
  <c r="K44" i="4"/>
  <c r="AB36" i="4"/>
  <c r="AA36" i="4"/>
  <c r="X61" i="4"/>
  <c r="X35" i="4"/>
  <c r="X41" i="4" s="1"/>
  <c r="AB60" i="4"/>
  <c r="AA60" i="4" s="1"/>
  <c r="AB80" i="4"/>
  <c r="AA80" i="4" s="1"/>
  <c r="AB51" i="4"/>
  <c r="AA51" i="4" s="1"/>
  <c r="AB48" i="4"/>
  <c r="AA48" i="4" s="1"/>
  <c r="W65" i="4"/>
  <c r="X65" i="4"/>
  <c r="AA59" i="4"/>
  <c r="AB59" i="4"/>
  <c r="AB52" i="4"/>
  <c r="AA52" i="4" s="1"/>
  <c r="T47" i="4"/>
  <c r="T46" i="4"/>
  <c r="T45" i="4"/>
  <c r="P44" i="4"/>
  <c r="S30" i="4"/>
  <c r="S11" i="4"/>
  <c r="AB64" i="4"/>
  <c r="AA64" i="4" s="1"/>
  <c r="AB39" i="4"/>
  <c r="AA39" i="4" s="1"/>
  <c r="W72" i="4"/>
  <c r="AB74" i="4"/>
  <c r="AA74" i="4" s="1"/>
  <c r="S73" i="4"/>
  <c r="X62" i="4"/>
  <c r="W62" i="4"/>
  <c r="S27" i="4"/>
  <c r="T66" i="4"/>
  <c r="S69" i="4"/>
  <c r="W77" i="4"/>
  <c r="X77" i="4"/>
  <c r="X11" i="4"/>
  <c r="AA9" i="4"/>
  <c r="S23" i="4"/>
  <c r="W24" i="4"/>
  <c r="AB70" i="4"/>
  <c r="AA70" i="4" s="1"/>
  <c r="AB81" i="4"/>
  <c r="AA81" i="4"/>
  <c r="W78" i="4"/>
  <c r="S25" i="3"/>
  <c r="D89" i="3"/>
  <c r="H8" i="3" s="1"/>
  <c r="L53" i="3"/>
  <c r="O14" i="3"/>
  <c r="AX75" i="1"/>
  <c r="BC75" i="1"/>
  <c r="BB75" i="1" s="1"/>
  <c r="AX72" i="1"/>
  <c r="BC72" i="1"/>
  <c r="AY81" i="1"/>
  <c r="AX81" i="1" s="1"/>
  <c r="BB62" i="1"/>
  <c r="BC64" i="1"/>
  <c r="BC65" i="1" s="1"/>
  <c r="BB64" i="1"/>
  <c r="AY65" i="1"/>
  <c r="AX65" i="1" s="1"/>
  <c r="AY54" i="1"/>
  <c r="AT81" i="1"/>
  <c r="BC80" i="1"/>
  <c r="BB80" i="1"/>
  <c r="BB47" i="1"/>
  <c r="AU84" i="1"/>
  <c r="AU86" i="1" s="1"/>
  <c r="X70" i="3"/>
  <c r="W70" i="3" s="1"/>
  <c r="T48" i="3"/>
  <c r="S48" i="3" s="1"/>
  <c r="S70" i="3"/>
  <c r="AB22" i="3"/>
  <c r="AA22" i="3" s="1"/>
  <c r="AB64" i="3"/>
  <c r="AA64" i="3" s="1"/>
  <c r="X61" i="3"/>
  <c r="W61" i="3" s="1"/>
  <c r="X39" i="3"/>
  <c r="W39" i="3" s="1"/>
  <c r="AB63" i="3"/>
  <c r="AA63" i="3" s="1"/>
  <c r="AB27" i="3"/>
  <c r="AA27" i="3" s="1"/>
  <c r="T82" i="3"/>
  <c r="AB65" i="3"/>
  <c r="AA65" i="3"/>
  <c r="X74" i="3"/>
  <c r="W74" i="3" s="1"/>
  <c r="X35" i="3"/>
  <c r="T41" i="3"/>
  <c r="S41" i="3" s="1"/>
  <c r="X62" i="3"/>
  <c r="W62" i="3" s="1"/>
  <c r="X51" i="3"/>
  <c r="T14" i="3"/>
  <c r="AB69" i="3"/>
  <c r="AA69" i="3" s="1"/>
  <c r="S62" i="3"/>
  <c r="AB38" i="3"/>
  <c r="AA38" i="3" s="1"/>
  <c r="T66" i="3"/>
  <c r="S66" i="3" s="1"/>
  <c r="X59" i="3"/>
  <c r="W59" i="3" s="1"/>
  <c r="AB60" i="3"/>
  <c r="AA60" i="3" s="1"/>
  <c r="X78" i="3"/>
  <c r="AA10" i="3"/>
  <c r="X12" i="3"/>
  <c r="W60" i="3"/>
  <c r="T44" i="3"/>
  <c r="P45" i="3"/>
  <c r="P47" i="3"/>
  <c r="I36" i="27" s="1"/>
  <c r="P46" i="3"/>
  <c r="P50" i="3"/>
  <c r="I39" i="27" s="1"/>
  <c r="I39" i="28" s="1"/>
  <c r="Q39" i="28" s="1"/>
  <c r="P49" i="3"/>
  <c r="O48" i="3"/>
  <c r="AB14" i="3"/>
  <c r="H55" i="3"/>
  <c r="G53" i="3"/>
  <c r="O82" i="3"/>
  <c r="X25" i="3"/>
  <c r="X30" i="3" s="1"/>
  <c r="AB36" i="3"/>
  <c r="AA36" i="3" s="1"/>
  <c r="O41" i="3"/>
  <c r="S39" i="3"/>
  <c r="W10" i="3"/>
  <c r="K49" i="3"/>
  <c r="AB24" i="3"/>
  <c r="AA24" i="3" s="1"/>
  <c r="AB79" i="3"/>
  <c r="AA79" i="3" s="1"/>
  <c r="K46" i="3"/>
  <c r="AQ84" i="1"/>
  <c r="L21" i="2"/>
  <c r="H43" i="2"/>
  <c r="H51" i="2" s="1"/>
  <c r="P33" i="35" l="1"/>
  <c r="P35" i="35" s="1"/>
  <c r="T14" i="35"/>
  <c r="T16" i="35" s="1"/>
  <c r="AH12" i="35"/>
  <c r="I36" i="28"/>
  <c r="Q36" i="28" s="1"/>
  <c r="H36" i="28"/>
  <c r="P36" i="28" s="1"/>
  <c r="F11" i="35"/>
  <c r="F26" i="35"/>
  <c r="F27" i="35" s="1"/>
  <c r="R26" i="35"/>
  <c r="R32" i="35" s="1"/>
  <c r="AH30" i="35"/>
  <c r="AH31" i="35" s="1"/>
  <c r="H34" i="28"/>
  <c r="P34" i="28" s="1"/>
  <c r="I33" i="28"/>
  <c r="Q33" i="28" s="1"/>
  <c r="J27" i="27"/>
  <c r="K27" i="27" s="1"/>
  <c r="I44" i="28"/>
  <c r="Q44" i="28" s="1"/>
  <c r="F23" i="28"/>
  <c r="N23" i="28" s="1"/>
  <c r="H85" i="3"/>
  <c r="H98" i="3" s="1"/>
  <c r="I55" i="3"/>
  <c r="M55" i="3"/>
  <c r="O16" i="3"/>
  <c r="Q16" i="3"/>
  <c r="R14" i="35"/>
  <c r="R16" i="35" s="1"/>
  <c r="G8" i="35"/>
  <c r="I27" i="28"/>
  <c r="Q27" i="28" s="1"/>
  <c r="K26" i="27"/>
  <c r="K48" i="27" s="1"/>
  <c r="K48" i="28" s="1"/>
  <c r="J48" i="27"/>
  <c r="J48" i="28" s="1"/>
  <c r="P14" i="35"/>
  <c r="P16" i="35" s="1"/>
  <c r="V7" i="35"/>
  <c r="V13" i="35" s="1"/>
  <c r="AJ11" i="35"/>
  <c r="R30" i="35"/>
  <c r="I7" i="35"/>
  <c r="H11" i="35"/>
  <c r="H8" i="35"/>
  <c r="X7" i="35"/>
  <c r="J17" i="26"/>
  <c r="J75" i="26"/>
  <c r="J75" i="28"/>
  <c r="J76" i="28" s="1"/>
  <c r="O49" i="3"/>
  <c r="I38" i="27"/>
  <c r="I38" i="28" s="1"/>
  <c r="Q38" i="28" s="1"/>
  <c r="O46" i="3"/>
  <c r="I35" i="27"/>
  <c r="J49" i="27"/>
  <c r="I42" i="28"/>
  <c r="Q42" i="28" s="1"/>
  <c r="O45" i="3"/>
  <c r="I34" i="27"/>
  <c r="J27" i="28"/>
  <c r="H26" i="35" s="1"/>
  <c r="S85" i="7"/>
  <c r="X98" i="7"/>
  <c r="T98" i="7"/>
  <c r="S13" i="4"/>
  <c r="T96" i="4"/>
  <c r="AB15" i="4"/>
  <c r="AB96" i="4"/>
  <c r="AB16" i="3"/>
  <c r="AB96" i="3"/>
  <c r="K53" i="3"/>
  <c r="L95" i="3"/>
  <c r="L97" i="3" s="1"/>
  <c r="O52" i="6"/>
  <c r="P94" i="6"/>
  <c r="H98" i="4"/>
  <c r="W81" i="6"/>
  <c r="S14" i="3"/>
  <c r="T96" i="3"/>
  <c r="AB55" i="7"/>
  <c r="AB85" i="7" s="1"/>
  <c r="AB87" i="7" s="1"/>
  <c r="AB95" i="7"/>
  <c r="AB97" i="7" s="1"/>
  <c r="W77" i="3"/>
  <c r="S82" i="3"/>
  <c r="AB29" i="6"/>
  <c r="AB43" i="6" s="1"/>
  <c r="K54" i="6"/>
  <c r="AB75" i="3"/>
  <c r="AA75" i="3" s="1"/>
  <c r="AB71" i="3"/>
  <c r="AA71" i="3" s="1"/>
  <c r="BC52" i="1"/>
  <c r="BC54" i="1" s="1"/>
  <c r="BB54" i="1" s="1"/>
  <c r="T50" i="4"/>
  <c r="AB73" i="3"/>
  <c r="AA73" i="3" s="1"/>
  <c r="AA53" i="7"/>
  <c r="W85" i="7"/>
  <c r="P7" i="7"/>
  <c r="P89" i="7" s="1"/>
  <c r="W55" i="7"/>
  <c r="H67" i="2"/>
  <c r="H71" i="2"/>
  <c r="BB65" i="1"/>
  <c r="X43" i="6"/>
  <c r="W43" i="6" s="1"/>
  <c r="S46" i="6"/>
  <c r="S49" i="6"/>
  <c r="T52" i="6"/>
  <c r="AB65" i="6"/>
  <c r="AB81" i="6"/>
  <c r="AB40" i="6"/>
  <c r="P54" i="6"/>
  <c r="X48" i="6"/>
  <c r="X46" i="6"/>
  <c r="X44" i="6"/>
  <c r="AA44" i="6" s="1"/>
  <c r="X49" i="6"/>
  <c r="W49" i="6" s="1"/>
  <c r="X45" i="6"/>
  <c r="AA45" i="6" s="1"/>
  <c r="AA40" i="6"/>
  <c r="X46" i="4"/>
  <c r="W46" i="4" s="1"/>
  <c r="X45" i="4"/>
  <c r="W45" i="4" s="1"/>
  <c r="W41" i="4"/>
  <c r="X13" i="4"/>
  <c r="AA11" i="4"/>
  <c r="AB65" i="4"/>
  <c r="AA65" i="4"/>
  <c r="AB61" i="4"/>
  <c r="AA61" i="4" s="1"/>
  <c r="L55" i="4"/>
  <c r="S47" i="4"/>
  <c r="O47" i="4"/>
  <c r="AB27" i="4"/>
  <c r="AA27" i="4"/>
  <c r="P53" i="4"/>
  <c r="AB62" i="4"/>
  <c r="W61" i="4"/>
  <c r="O15" i="4"/>
  <c r="W11" i="4"/>
  <c r="AB73" i="4"/>
  <c r="AA73" i="4" s="1"/>
  <c r="T44" i="4"/>
  <c r="K53" i="4"/>
  <c r="X82" i="4"/>
  <c r="AB69" i="4"/>
  <c r="S46" i="4"/>
  <c r="O46" i="4"/>
  <c r="S50" i="4"/>
  <c r="O50" i="4"/>
  <c r="AB35" i="4"/>
  <c r="AB41" i="4" s="1"/>
  <c r="AA41" i="4" s="1"/>
  <c r="AA35" i="4"/>
  <c r="S66" i="4"/>
  <c r="G55" i="4"/>
  <c r="S49" i="4"/>
  <c r="AB77" i="4"/>
  <c r="AA77" i="4" s="1"/>
  <c r="X66" i="4"/>
  <c r="W35" i="4"/>
  <c r="S82" i="4"/>
  <c r="O44" i="4"/>
  <c r="T15" i="4"/>
  <c r="S15" i="4" s="1"/>
  <c r="AB23" i="4"/>
  <c r="X30" i="4"/>
  <c r="W69" i="4"/>
  <c r="S45" i="4"/>
  <c r="O45" i="4"/>
  <c r="W27" i="4"/>
  <c r="W25" i="3"/>
  <c r="L55" i="3"/>
  <c r="L85" i="3" s="1"/>
  <c r="T16" i="3"/>
  <c r="S16" i="3" s="1"/>
  <c r="AY84" i="1"/>
  <c r="AX54" i="1"/>
  <c r="AT84" i="1"/>
  <c r="BB72" i="1"/>
  <c r="BC81" i="1"/>
  <c r="X82" i="3"/>
  <c r="X44" i="3"/>
  <c r="W30" i="3"/>
  <c r="AB51" i="3"/>
  <c r="AA51" i="3" s="1"/>
  <c r="AA12" i="3"/>
  <c r="X14" i="3"/>
  <c r="X66" i="3"/>
  <c r="W66" i="3" s="1"/>
  <c r="AB59" i="3"/>
  <c r="AA59" i="3" s="1"/>
  <c r="AB62" i="3"/>
  <c r="AA62" i="3" s="1"/>
  <c r="AB74" i="3"/>
  <c r="AB61" i="3"/>
  <c r="AA61" i="3" s="1"/>
  <c r="AB70" i="3"/>
  <c r="AA70" i="3" s="1"/>
  <c r="T50" i="3"/>
  <c r="S50" i="3" s="1"/>
  <c r="T49" i="3"/>
  <c r="T45" i="3"/>
  <c r="T47" i="3"/>
  <c r="S47" i="3" s="1"/>
  <c r="T46" i="3"/>
  <c r="S46" i="3" s="1"/>
  <c r="AB78" i="3"/>
  <c r="AA78" i="3" s="1"/>
  <c r="W51" i="3"/>
  <c r="P53" i="3"/>
  <c r="P95" i="3" s="1"/>
  <c r="P97" i="3" s="1"/>
  <c r="AB35" i="3"/>
  <c r="AA35" i="3" s="1"/>
  <c r="X41" i="3"/>
  <c r="O50" i="3"/>
  <c r="AB25" i="3"/>
  <c r="AB30" i="3" s="1"/>
  <c r="G55" i="3"/>
  <c r="W78" i="3"/>
  <c r="W12" i="3"/>
  <c r="O47" i="3"/>
  <c r="S44" i="3"/>
  <c r="W35" i="3"/>
  <c r="AB39" i="3"/>
  <c r="AA39" i="3" s="1"/>
  <c r="X48" i="3"/>
  <c r="AQ86" i="1"/>
  <c r="AT86" i="1" s="1"/>
  <c r="I43" i="2"/>
  <c r="I51" i="2" s="1"/>
  <c r="M21" i="2"/>
  <c r="J43" i="2" s="1"/>
  <c r="J51" i="2" s="1"/>
  <c r="T19" i="35" l="1"/>
  <c r="T18" i="35" s="1"/>
  <c r="R28" i="35"/>
  <c r="R31" i="35"/>
  <c r="R29" i="35"/>
  <c r="G11" i="35"/>
  <c r="G14" i="35" s="1"/>
  <c r="AI12" i="35"/>
  <c r="F14" i="35"/>
  <c r="AI30" i="35"/>
  <c r="T26" i="35"/>
  <c r="F30" i="35"/>
  <c r="I34" i="28"/>
  <c r="Q34" i="28" s="1"/>
  <c r="I35" i="28"/>
  <c r="Q35" i="28" s="1"/>
  <c r="AJ12" i="35"/>
  <c r="G26" i="35"/>
  <c r="AJ30" i="35" s="1"/>
  <c r="H87" i="3"/>
  <c r="H89" i="3" s="1"/>
  <c r="M85" i="3"/>
  <c r="I85" i="3"/>
  <c r="R19" i="35"/>
  <c r="J44" i="28"/>
  <c r="K49" i="27"/>
  <c r="K26" i="28"/>
  <c r="K49" i="28" s="1"/>
  <c r="K75" i="28" s="1"/>
  <c r="K76" i="28" s="1"/>
  <c r="L26" i="27"/>
  <c r="L26" i="28" s="1"/>
  <c r="L49" i="28" s="1"/>
  <c r="V12" i="35"/>
  <c r="V10" i="35"/>
  <c r="V9" i="35"/>
  <c r="V11" i="35"/>
  <c r="G30" i="35"/>
  <c r="I26" i="35"/>
  <c r="H30" i="35"/>
  <c r="H33" i="35" s="1"/>
  <c r="X26" i="35"/>
  <c r="X9" i="35"/>
  <c r="X10" i="35"/>
  <c r="X12" i="35"/>
  <c r="X13" i="35"/>
  <c r="X11" i="35"/>
  <c r="J7" i="35"/>
  <c r="Z7" i="35"/>
  <c r="I8" i="35"/>
  <c r="I11" i="35"/>
  <c r="I14" i="35" s="1"/>
  <c r="L44" i="28"/>
  <c r="K44" i="28"/>
  <c r="L27" i="27"/>
  <c r="L27" i="28" s="1"/>
  <c r="K27" i="28"/>
  <c r="J76" i="26"/>
  <c r="J79" i="26"/>
  <c r="J80" i="26" s="1"/>
  <c r="K17" i="26"/>
  <c r="J42" i="28"/>
  <c r="J54" i="26"/>
  <c r="J59" i="26" s="1"/>
  <c r="J17" i="28"/>
  <c r="J54" i="28" s="1"/>
  <c r="AA13" i="4"/>
  <c r="X96" i="4"/>
  <c r="AA81" i="6"/>
  <c r="W82" i="4"/>
  <c r="K55" i="4"/>
  <c r="L85" i="4"/>
  <c r="O54" i="6"/>
  <c r="S52" i="6"/>
  <c r="T94" i="6"/>
  <c r="AB98" i="7"/>
  <c r="L98" i="3"/>
  <c r="AA14" i="3"/>
  <c r="X96" i="3"/>
  <c r="O53" i="4"/>
  <c r="P95" i="4"/>
  <c r="P97" i="4" s="1"/>
  <c r="AA55" i="7"/>
  <c r="K55" i="3"/>
  <c r="L87" i="3"/>
  <c r="W82" i="3"/>
  <c r="O89" i="7"/>
  <c r="G85" i="3"/>
  <c r="BC84" i="1"/>
  <c r="BC86" i="1" s="1"/>
  <c r="BB52" i="1"/>
  <c r="T54" i="6"/>
  <c r="T7" i="7"/>
  <c r="T89" i="7" s="1"/>
  <c r="AA85" i="7"/>
  <c r="AA87" i="7"/>
  <c r="S87" i="7"/>
  <c r="I67" i="2"/>
  <c r="I71" i="2"/>
  <c r="J67" i="2"/>
  <c r="J71" i="2"/>
  <c r="AA29" i="6"/>
  <c r="AA43" i="6"/>
  <c r="W48" i="6"/>
  <c r="W46" i="6"/>
  <c r="X52" i="6"/>
  <c r="AB49" i="6"/>
  <c r="AA49" i="6" s="1"/>
  <c r="AB45" i="6"/>
  <c r="AB48" i="6"/>
  <c r="AA48" i="6" s="1"/>
  <c r="AB46" i="6"/>
  <c r="AA46" i="6" s="1"/>
  <c r="AB44" i="6"/>
  <c r="AB66" i="4"/>
  <c r="AB30" i="4"/>
  <c r="AB44" i="4" s="1"/>
  <c r="X44" i="4"/>
  <c r="AA30" i="4"/>
  <c r="AB82" i="4"/>
  <c r="T53" i="4"/>
  <c r="W44" i="4"/>
  <c r="P55" i="4"/>
  <c r="X49" i="4"/>
  <c r="AA23" i="4"/>
  <c r="W13" i="4"/>
  <c r="AA62" i="4"/>
  <c r="X47" i="4"/>
  <c r="AB45" i="4"/>
  <c r="AA45" i="4" s="1"/>
  <c r="AB46" i="4"/>
  <c r="AA46" i="4" s="1"/>
  <c r="W15" i="4"/>
  <c r="AA66" i="4"/>
  <c r="W66" i="4"/>
  <c r="AA69" i="4"/>
  <c r="W30" i="4"/>
  <c r="S44" i="4"/>
  <c r="X15" i="4"/>
  <c r="AA15" i="4" s="1"/>
  <c r="X50" i="4"/>
  <c r="AA25" i="3"/>
  <c r="AY86" i="1"/>
  <c r="AX84" i="1"/>
  <c r="BB81" i="1"/>
  <c r="T53" i="3"/>
  <c r="AB82" i="3"/>
  <c r="W14" i="3"/>
  <c r="AB44" i="3"/>
  <c r="AA44" i="3" s="1"/>
  <c r="AA30" i="3"/>
  <c r="AB48" i="3"/>
  <c r="AA48" i="3" s="1"/>
  <c r="G87" i="3"/>
  <c r="X47" i="3"/>
  <c r="X46" i="3"/>
  <c r="W46" i="3" s="1"/>
  <c r="X50" i="3"/>
  <c r="W50" i="3" s="1"/>
  <c r="X49" i="3"/>
  <c r="W49" i="3" s="1"/>
  <c r="X45" i="3"/>
  <c r="W45" i="3" s="1"/>
  <c r="W41" i="3"/>
  <c r="AA74" i="3"/>
  <c r="X16" i="3"/>
  <c r="AB66" i="3"/>
  <c r="AA66" i="3" s="1"/>
  <c r="S49" i="3"/>
  <c r="AB41" i="3"/>
  <c r="AA41" i="3" s="1"/>
  <c r="W48" i="3"/>
  <c r="W44" i="3"/>
  <c r="P55" i="3"/>
  <c r="P85" i="3" s="1"/>
  <c r="O53" i="3"/>
  <c r="S45" i="3"/>
  <c r="R33" i="35" l="1"/>
  <c r="R35" i="35" s="1"/>
  <c r="R38" i="35" s="1"/>
  <c r="R37" i="35" s="1"/>
  <c r="T21" i="35"/>
  <c r="AJ31" i="35"/>
  <c r="V26" i="35"/>
  <c r="V28" i="35" s="1"/>
  <c r="H27" i="35"/>
  <c r="G16" i="35"/>
  <c r="H14" i="35"/>
  <c r="T30" i="35"/>
  <c r="T32" i="35"/>
  <c r="T29" i="35"/>
  <c r="T28" i="35"/>
  <c r="T31" i="35"/>
  <c r="F33" i="35"/>
  <c r="AI31" i="35"/>
  <c r="G27" i="35"/>
  <c r="R18" i="35"/>
  <c r="L49" i="27"/>
  <c r="L48" i="27"/>
  <c r="L48" i="28" s="1"/>
  <c r="K75" i="26"/>
  <c r="K79" i="26" s="1"/>
  <c r="K80" i="26" s="1"/>
  <c r="G33" i="35"/>
  <c r="V14" i="35"/>
  <c r="V16" i="35" s="1"/>
  <c r="V19" i="35" s="1"/>
  <c r="R50" i="35"/>
  <c r="R51" i="35" s="1"/>
  <c r="I30" i="35"/>
  <c r="I33" i="35" s="1"/>
  <c r="I27" i="35"/>
  <c r="J26" i="35"/>
  <c r="Z26" i="35"/>
  <c r="X29" i="35"/>
  <c r="X28" i="35"/>
  <c r="X33" i="35" s="1"/>
  <c r="X35" i="35" s="1"/>
  <c r="X32" i="35"/>
  <c r="X31" i="35"/>
  <c r="X30" i="35"/>
  <c r="Z13" i="35"/>
  <c r="Z11" i="35"/>
  <c r="Z10" i="35"/>
  <c r="Z12" i="35"/>
  <c r="Z9" i="35"/>
  <c r="K7" i="35"/>
  <c r="J8" i="35"/>
  <c r="AB7" i="35"/>
  <c r="J11" i="35"/>
  <c r="J14" i="35" s="1"/>
  <c r="X14" i="35"/>
  <c r="X16" i="35" s="1"/>
  <c r="BB84" i="1"/>
  <c r="L42" i="28"/>
  <c r="K42" i="28"/>
  <c r="L75" i="28"/>
  <c r="L76" i="28" s="1"/>
  <c r="L75" i="26"/>
  <c r="L17" i="26"/>
  <c r="K54" i="26"/>
  <c r="K59" i="26" s="1"/>
  <c r="K17" i="28"/>
  <c r="K54" i="28" s="1"/>
  <c r="P87" i="3"/>
  <c r="P98" i="3"/>
  <c r="T55" i="3"/>
  <c r="T85" i="3" s="1"/>
  <c r="T87" i="3" s="1"/>
  <c r="T95" i="3"/>
  <c r="T97" i="3" s="1"/>
  <c r="AA82" i="4"/>
  <c r="W52" i="6"/>
  <c r="X94" i="6"/>
  <c r="S53" i="4"/>
  <c r="T95" i="4"/>
  <c r="T97" i="4" s="1"/>
  <c r="S54" i="6"/>
  <c r="O55" i="4"/>
  <c r="P85" i="4"/>
  <c r="P87" i="4" s="1"/>
  <c r="L87" i="4"/>
  <c r="L98" i="4"/>
  <c r="AA82" i="3"/>
  <c r="K85" i="3"/>
  <c r="K87" i="3"/>
  <c r="X7" i="7"/>
  <c r="X89" i="7" s="1"/>
  <c r="W87" i="7"/>
  <c r="S89" i="7"/>
  <c r="AB52" i="6"/>
  <c r="X54" i="6"/>
  <c r="AB49" i="4"/>
  <c r="AB47" i="4"/>
  <c r="AB50" i="4"/>
  <c r="AA49" i="4"/>
  <c r="W49" i="4"/>
  <c r="T55" i="4"/>
  <c r="W50" i="4"/>
  <c r="AA47" i="4"/>
  <c r="W47" i="4"/>
  <c r="K85" i="4"/>
  <c r="AA44" i="4"/>
  <c r="X53" i="4"/>
  <c r="X95" i="4" s="1"/>
  <c r="X97" i="4" s="1"/>
  <c r="S53" i="3"/>
  <c r="AX86" i="1"/>
  <c r="BB86" i="1"/>
  <c r="W47" i="3"/>
  <c r="X53" i="3"/>
  <c r="X95" i="3" s="1"/>
  <c r="X97" i="3" s="1"/>
  <c r="O55" i="3"/>
  <c r="AA16" i="3"/>
  <c r="W16" i="3"/>
  <c r="AB45" i="3"/>
  <c r="AA45" i="3" s="1"/>
  <c r="AB47" i="3"/>
  <c r="AA47" i="3" s="1"/>
  <c r="AB46" i="3"/>
  <c r="AA46" i="3" s="1"/>
  <c r="AB50" i="3"/>
  <c r="AA50" i="3" s="1"/>
  <c r="AB49" i="3"/>
  <c r="AA49" i="3" s="1"/>
  <c r="G89" i="3"/>
  <c r="G23" i="2"/>
  <c r="V32" i="35" l="1"/>
  <c r="V30" i="35"/>
  <c r="V29" i="35"/>
  <c r="V21" i="35"/>
  <c r="V31" i="35"/>
  <c r="G35" i="35"/>
  <c r="T33" i="35"/>
  <c r="T35" i="35" s="1"/>
  <c r="T38" i="35" s="1"/>
  <c r="T37" i="35" s="1"/>
  <c r="K76" i="26"/>
  <c r="K35" i="35"/>
  <c r="V18" i="35"/>
  <c r="X19" i="35"/>
  <c r="Z30" i="35"/>
  <c r="Z28" i="35"/>
  <c r="Z33" i="35" s="1"/>
  <c r="Z35" i="35" s="1"/>
  <c r="Z38" i="35" s="1"/>
  <c r="Z29" i="35"/>
  <c r="Z32" i="35"/>
  <c r="Z31" i="35"/>
  <c r="K26" i="35"/>
  <c r="J30" i="35"/>
  <c r="J33" i="35" s="1"/>
  <c r="J27" i="35"/>
  <c r="AB26" i="35"/>
  <c r="AB12" i="35"/>
  <c r="AB11" i="35"/>
  <c r="AB13" i="35"/>
  <c r="AB9" i="35"/>
  <c r="AB10" i="35"/>
  <c r="K8" i="35"/>
  <c r="K11" i="35"/>
  <c r="K14" i="35" s="1"/>
  <c r="K16" i="35" s="1"/>
  <c r="AD7" i="35"/>
  <c r="Z14" i="35"/>
  <c r="Z16" i="35" s="1"/>
  <c r="Z19" i="35" s="1"/>
  <c r="L76" i="26"/>
  <c r="L79" i="26"/>
  <c r="L80" i="26" s="1"/>
  <c r="L54" i="26"/>
  <c r="L59" i="26" s="1"/>
  <c r="L17" i="28"/>
  <c r="L54" i="28" s="1"/>
  <c r="S55" i="3"/>
  <c r="T98" i="3"/>
  <c r="P98" i="4"/>
  <c r="AB54" i="6"/>
  <c r="AA54" i="6" s="1"/>
  <c r="AB94" i="6"/>
  <c r="W54" i="6"/>
  <c r="S55" i="4"/>
  <c r="T85" i="4"/>
  <c r="T87" i="4" s="1"/>
  <c r="AB7" i="7"/>
  <c r="AB89" i="7" s="1"/>
  <c r="W89" i="7"/>
  <c r="AA52" i="6"/>
  <c r="AB53" i="4"/>
  <c r="AA50" i="4"/>
  <c r="AA53" i="4"/>
  <c r="X55" i="4"/>
  <c r="X85" i="4" s="1"/>
  <c r="X87" i="4" s="1"/>
  <c r="O87" i="4"/>
  <c r="L7" i="4"/>
  <c r="L89" i="4" s="1"/>
  <c r="W53" i="4"/>
  <c r="S85" i="4"/>
  <c r="K87" i="4"/>
  <c r="O85" i="4"/>
  <c r="AB53" i="3"/>
  <c r="L8" i="3"/>
  <c r="L89" i="3" s="1"/>
  <c r="S85" i="3"/>
  <c r="O85" i="3"/>
  <c r="X55" i="3"/>
  <c r="X85" i="3" s="1"/>
  <c r="W53" i="3"/>
  <c r="H23" i="2"/>
  <c r="F23" i="2"/>
  <c r="E23" i="2"/>
  <c r="X21" i="35" l="1"/>
  <c r="V33" i="35"/>
  <c r="V35" i="35" s="1"/>
  <c r="V38" i="35" s="1"/>
  <c r="V37" i="35" s="1"/>
  <c r="T50" i="35"/>
  <c r="T51" i="35" s="1"/>
  <c r="T40" i="35"/>
  <c r="K37" i="35"/>
  <c r="X38" i="35"/>
  <c r="X18" i="35"/>
  <c r="K30" i="35"/>
  <c r="K33" i="35" s="1"/>
  <c r="K27" i="35"/>
  <c r="AD26" i="35"/>
  <c r="AB30" i="35"/>
  <c r="AB32" i="35"/>
  <c r="AB29" i="35"/>
  <c r="AB31" i="35"/>
  <c r="AB28" i="35"/>
  <c r="AB33" i="35" s="1"/>
  <c r="AB35" i="35" s="1"/>
  <c r="AB38" i="35" s="1"/>
  <c r="Z37" i="35"/>
  <c r="AB14" i="35"/>
  <c r="AB16" i="35" s="1"/>
  <c r="AB19" i="35" s="1"/>
  <c r="AD9" i="35"/>
  <c r="AD10" i="35"/>
  <c r="AD11" i="35"/>
  <c r="AD13" i="35"/>
  <c r="AD12" i="35"/>
  <c r="Z50" i="35"/>
  <c r="Z51" i="35" s="1"/>
  <c r="Z18" i="35"/>
  <c r="Z21" i="35"/>
  <c r="T98" i="4"/>
  <c r="AB55" i="3"/>
  <c r="AB85" i="3" s="1"/>
  <c r="AB95" i="3"/>
  <c r="AB97" i="3" s="1"/>
  <c r="X87" i="3"/>
  <c r="X98" i="3"/>
  <c r="AB55" i="4"/>
  <c r="AB85" i="4" s="1"/>
  <c r="AB87" i="4" s="1"/>
  <c r="AB95" i="4"/>
  <c r="AB97" i="4" s="1"/>
  <c r="X98" i="4"/>
  <c r="AA89" i="7"/>
  <c r="K89" i="3"/>
  <c r="P7" i="4"/>
  <c r="AA55" i="4"/>
  <c r="W85" i="4"/>
  <c r="W55" i="4"/>
  <c r="K89" i="4"/>
  <c r="AA53" i="3"/>
  <c r="W55" i="3"/>
  <c r="S87" i="3"/>
  <c r="O87" i="3"/>
  <c r="V40" i="35" l="1"/>
  <c r="X40" i="35" s="1"/>
  <c r="Z40" i="35" s="1"/>
  <c r="AB40" i="35" s="1"/>
  <c r="V50" i="35"/>
  <c r="V51" i="35" s="1"/>
  <c r="X37" i="35"/>
  <c r="X50" i="35"/>
  <c r="X51" i="35" s="1"/>
  <c r="AB37" i="35"/>
  <c r="AD31" i="35"/>
  <c r="AD30" i="35"/>
  <c r="AD32" i="35"/>
  <c r="AD29" i="35"/>
  <c r="AD28" i="35"/>
  <c r="AD33" i="35" s="1"/>
  <c r="AD35" i="35" s="1"/>
  <c r="AD38" i="35" s="1"/>
  <c r="AB50" i="35"/>
  <c r="AB51" i="35" s="1"/>
  <c r="AB18" i="35"/>
  <c r="AB21" i="35"/>
  <c r="AD14" i="35"/>
  <c r="AD16" i="35" s="1"/>
  <c r="AD19" i="35" s="1"/>
  <c r="AA55" i="3"/>
  <c r="AB98" i="4"/>
  <c r="O89" i="4"/>
  <c r="P89" i="4"/>
  <c r="T7" i="4" s="1"/>
  <c r="T89" i="4" s="1"/>
  <c r="AB87" i="3"/>
  <c r="AB98" i="3"/>
  <c r="P8" i="3"/>
  <c r="AA85" i="4"/>
  <c r="AA87" i="4"/>
  <c r="S87" i="4"/>
  <c r="AA85" i="3"/>
  <c r="W85" i="3"/>
  <c r="G25" i="2"/>
  <c r="I23" i="2"/>
  <c r="K23" i="2"/>
  <c r="AD40" i="35" l="1"/>
  <c r="AD37" i="35"/>
  <c r="AD50" i="35"/>
  <c r="AD51" i="35" s="1"/>
  <c r="AD21" i="35"/>
  <c r="AD18" i="35"/>
  <c r="P89" i="3"/>
  <c r="O89" i="3" s="1"/>
  <c r="X7" i="4"/>
  <c r="X89" i="4" s="1"/>
  <c r="S89" i="4"/>
  <c r="W87" i="4"/>
  <c r="AA87" i="3"/>
  <c r="W87" i="3"/>
  <c r="L23" i="2"/>
  <c r="H25" i="2"/>
  <c r="T8" i="3" l="1"/>
  <c r="T89" i="3" s="1"/>
  <c r="AB7" i="4"/>
  <c r="W89" i="4"/>
  <c r="M23" i="2"/>
  <c r="I25" i="2"/>
  <c r="J25" i="2"/>
  <c r="AA89" i="4" l="1"/>
  <c r="AB89" i="4"/>
  <c r="S89" i="3"/>
  <c r="X8" i="3"/>
  <c r="X89" i="3" s="1"/>
  <c r="AB8" i="3" s="1"/>
  <c r="AB89" i="3" s="1"/>
  <c r="K25" i="2"/>
  <c r="L25" i="2"/>
  <c r="AA89" i="3" l="1"/>
  <c r="W89" i="3"/>
  <c r="M25" i="2"/>
  <c r="AM10" i="1" l="1"/>
  <c r="AF21" i="1"/>
  <c r="AF10" i="1"/>
  <c r="AF7" i="1"/>
  <c r="C29" i="1"/>
  <c r="AD88" i="1"/>
  <c r="AD86" i="1"/>
  <c r="AI6" i="1"/>
  <c r="AM6" i="1" s="1"/>
  <c r="AE80" i="1"/>
  <c r="AD84" i="1"/>
  <c r="AD80" i="1"/>
  <c r="AE79" i="1"/>
  <c r="AD79" i="1"/>
  <c r="AE78" i="1"/>
  <c r="AD78" i="1"/>
  <c r="AE77" i="1"/>
  <c r="AD77" i="1"/>
  <c r="AE76" i="1"/>
  <c r="AD76" i="1"/>
  <c r="AE75" i="1"/>
  <c r="AD75" i="1"/>
  <c r="AE74" i="1"/>
  <c r="AD74" i="1"/>
  <c r="AE73" i="1"/>
  <c r="AD73" i="1"/>
  <c r="AE72" i="1"/>
  <c r="AD72" i="1"/>
  <c r="AE71" i="1"/>
  <c r="AD71" i="1"/>
  <c r="AE70" i="1"/>
  <c r="AD70" i="1"/>
  <c r="AE69" i="1"/>
  <c r="AD69" i="1"/>
  <c r="AE68" i="1"/>
  <c r="AD68" i="1"/>
  <c r="AD67" i="1"/>
  <c r="AE64" i="1"/>
  <c r="AD64" i="1"/>
  <c r="AE63" i="1"/>
  <c r="AD63" i="1"/>
  <c r="AE62" i="1"/>
  <c r="AD62" i="1"/>
  <c r="AE61" i="1"/>
  <c r="AD61" i="1"/>
  <c r="AE60" i="1"/>
  <c r="AD60" i="1"/>
  <c r="AE59" i="1"/>
  <c r="AD59" i="1"/>
  <c r="AE58" i="1"/>
  <c r="AD58" i="1"/>
  <c r="AD57" i="1"/>
  <c r="AD54" i="1"/>
  <c r="AE51" i="1"/>
  <c r="AD51" i="1"/>
  <c r="AE50" i="1"/>
  <c r="AD50" i="1"/>
  <c r="AE49" i="1"/>
  <c r="AD49" i="1"/>
  <c r="AE48" i="1"/>
  <c r="AD48" i="1"/>
  <c r="AE47" i="1"/>
  <c r="AD47" i="1"/>
  <c r="AE46" i="1"/>
  <c r="AD46" i="1"/>
  <c r="AE45" i="1"/>
  <c r="AD45" i="1"/>
  <c r="AE44" i="1"/>
  <c r="AD44" i="1"/>
  <c r="AE43" i="1"/>
  <c r="AD43" i="1"/>
  <c r="AD42" i="1"/>
  <c r="AD41" i="1"/>
  <c r="AE38" i="1"/>
  <c r="AD38" i="1"/>
  <c r="AE37" i="1"/>
  <c r="AD37" i="1"/>
  <c r="AE36" i="1"/>
  <c r="AD36" i="1"/>
  <c r="AE35" i="1"/>
  <c r="AD35" i="1"/>
  <c r="AE34" i="1"/>
  <c r="AD34" i="1"/>
  <c r="AE33" i="1"/>
  <c r="AD33" i="1"/>
  <c r="AE32" i="1"/>
  <c r="AD32" i="1"/>
  <c r="AD31" i="1"/>
  <c r="AE27" i="1"/>
  <c r="AD27" i="1"/>
  <c r="AE26" i="1"/>
  <c r="AD26" i="1"/>
  <c r="AE25" i="1"/>
  <c r="AD25" i="1"/>
  <c r="AE24" i="1"/>
  <c r="AD24" i="1"/>
  <c r="AE23" i="1"/>
  <c r="AD23" i="1"/>
  <c r="AE22" i="1"/>
  <c r="AD22" i="1"/>
  <c r="AE21" i="1"/>
  <c r="AD21" i="1"/>
  <c r="AD20" i="1"/>
  <c r="AL10" i="1" l="1"/>
  <c r="AP10" i="1"/>
  <c r="AM29" i="1"/>
  <c r="AM40" i="1"/>
  <c r="AM65" i="1"/>
  <c r="AM81" i="1"/>
  <c r="AP81" i="1" s="1"/>
  <c r="AP65" i="1" l="1"/>
  <c r="AL40" i="1"/>
  <c r="AM44" i="1"/>
  <c r="AM45" i="1"/>
  <c r="AP40" i="1"/>
  <c r="AM48" i="1"/>
  <c r="AP48" i="1" s="1"/>
  <c r="AM46" i="1"/>
  <c r="AM49" i="1"/>
  <c r="AP49" i="1" s="1"/>
  <c r="AM43" i="1"/>
  <c r="AP29" i="1"/>
  <c r="AF103" i="1"/>
  <c r="AF102" i="1"/>
  <c r="AF101" i="1"/>
  <c r="AF100" i="1"/>
  <c r="AF99" i="1"/>
  <c r="AA104" i="1"/>
  <c r="Y104" i="1"/>
  <c r="W104" i="1"/>
  <c r="U104" i="1"/>
  <c r="S104" i="1"/>
  <c r="Q104" i="1"/>
  <c r="O104" i="1"/>
  <c r="M104" i="1"/>
  <c r="K104" i="1"/>
  <c r="I104" i="1"/>
  <c r="G104" i="1"/>
  <c r="E104" i="1"/>
  <c r="C104" i="1"/>
  <c r="AL45" i="1" l="1"/>
  <c r="AP45" i="1"/>
  <c r="AL44" i="1"/>
  <c r="AP44" i="1"/>
  <c r="AP46" i="1"/>
  <c r="AP43" i="1"/>
  <c r="AF104" i="1"/>
  <c r="AF93" i="1"/>
  <c r="AF92" i="1"/>
  <c r="AF77" i="1"/>
  <c r="AF78" i="1"/>
  <c r="AF79" i="1"/>
  <c r="AF80" i="1"/>
  <c r="AF64" i="1"/>
  <c r="AF76" i="1"/>
  <c r="AF75" i="1"/>
  <c r="AF74" i="1"/>
  <c r="AF73" i="1"/>
  <c r="AF72" i="1"/>
  <c r="AF71" i="1"/>
  <c r="AF70" i="1"/>
  <c r="AF69" i="1"/>
  <c r="AF68" i="1"/>
  <c r="AF63" i="1"/>
  <c r="AF62" i="1"/>
  <c r="AF61" i="1"/>
  <c r="AF60" i="1"/>
  <c r="AF59" i="1"/>
  <c r="AF58" i="1"/>
  <c r="AF51" i="1"/>
  <c r="AF38" i="1"/>
  <c r="AF37" i="1"/>
  <c r="AF36" i="1"/>
  <c r="AF35" i="1"/>
  <c r="AF34" i="1"/>
  <c r="AF33" i="1"/>
  <c r="AF32" i="1"/>
  <c r="AF27" i="1"/>
  <c r="AF26" i="1"/>
  <c r="AF25" i="1"/>
  <c r="AF24" i="1"/>
  <c r="AF23" i="1"/>
  <c r="AF22" i="1"/>
  <c r="AA49" i="1"/>
  <c r="AA48" i="1"/>
  <c r="AA46" i="1"/>
  <c r="AA45" i="1"/>
  <c r="Y81" i="1"/>
  <c r="Y50" i="1"/>
  <c r="Y49" i="1"/>
  <c r="Y45" i="1"/>
  <c r="W49" i="1"/>
  <c r="W46" i="1"/>
  <c r="W45" i="1"/>
  <c r="U44" i="1"/>
  <c r="U43" i="1"/>
  <c r="U49" i="1"/>
  <c r="U46" i="1"/>
  <c r="U45" i="1"/>
  <c r="S49" i="1"/>
  <c r="S48" i="1"/>
  <c r="S46" i="1"/>
  <c r="S45" i="1"/>
  <c r="Q48" i="1"/>
  <c r="Q47" i="1"/>
  <c r="Q46" i="1"/>
  <c r="Q45" i="1"/>
  <c r="O49" i="1"/>
  <c r="O46" i="1"/>
  <c r="O45" i="1"/>
  <c r="M49" i="1"/>
  <c r="M48" i="1"/>
  <c r="M47" i="1"/>
  <c r="K48" i="1"/>
  <c r="K47" i="1"/>
  <c r="K46" i="1"/>
  <c r="K45" i="1"/>
  <c r="I49" i="1"/>
  <c r="I48" i="1"/>
  <c r="I46" i="1"/>
  <c r="G49" i="1"/>
  <c r="G48" i="1"/>
  <c r="G46" i="1"/>
  <c r="E94" i="1"/>
  <c r="E49" i="1"/>
  <c r="E48" i="1"/>
  <c r="E46" i="1"/>
  <c r="E45" i="1"/>
  <c r="AA94" i="1"/>
  <c r="AA81" i="1"/>
  <c r="AA65" i="1"/>
  <c r="AA40" i="1"/>
  <c r="AA29" i="1"/>
  <c r="Y94" i="1"/>
  <c r="Y65" i="1"/>
  <c r="Y40" i="1"/>
  <c r="Y29" i="1"/>
  <c r="W94" i="1"/>
  <c r="W81" i="1"/>
  <c r="W65" i="1"/>
  <c r="W40" i="1"/>
  <c r="W29" i="1"/>
  <c r="U94" i="1"/>
  <c r="U81" i="1"/>
  <c r="U65" i="1"/>
  <c r="U40" i="1"/>
  <c r="U29" i="1"/>
  <c r="S94" i="1"/>
  <c r="S81" i="1"/>
  <c r="S65" i="1"/>
  <c r="S40" i="1"/>
  <c r="S29" i="1"/>
  <c r="Q94" i="1"/>
  <c r="Q81" i="1"/>
  <c r="Q65" i="1"/>
  <c r="Q40" i="1"/>
  <c r="Q29" i="1"/>
  <c r="O94" i="1"/>
  <c r="O81" i="1"/>
  <c r="O65" i="1"/>
  <c r="O40" i="1"/>
  <c r="O29" i="1"/>
  <c r="M94" i="1"/>
  <c r="M81" i="1"/>
  <c r="M65" i="1"/>
  <c r="M40" i="1"/>
  <c r="M29" i="1"/>
  <c r="K94" i="1"/>
  <c r="K81" i="1"/>
  <c r="K65" i="1"/>
  <c r="K40" i="1"/>
  <c r="K29" i="1"/>
  <c r="I94" i="1"/>
  <c r="I81" i="1"/>
  <c r="I65" i="1"/>
  <c r="I40" i="1"/>
  <c r="I29" i="1"/>
  <c r="G94" i="1"/>
  <c r="G81" i="1"/>
  <c r="G65" i="1"/>
  <c r="G40" i="1"/>
  <c r="G29" i="1"/>
  <c r="C94" i="1"/>
  <c r="B93" i="1"/>
  <c r="B92" i="1"/>
  <c r="C45" i="1"/>
  <c r="C46" i="1"/>
  <c r="C49" i="1"/>
  <c r="C48" i="1"/>
  <c r="AF48" i="1" s="1"/>
  <c r="C47" i="1"/>
  <c r="C81" i="1"/>
  <c r="C65" i="1"/>
  <c r="E29" i="1"/>
  <c r="E40" i="1"/>
  <c r="C40" i="1"/>
  <c r="G12" i="1"/>
  <c r="I52" i="1" l="1"/>
  <c r="I54" i="1" s="1"/>
  <c r="I84" i="1" s="1"/>
  <c r="AF49" i="1"/>
  <c r="Y52" i="1"/>
  <c r="AA52" i="1"/>
  <c r="AA54" i="1" s="1"/>
  <c r="AA84" i="1" s="1"/>
  <c r="AF47" i="1"/>
  <c r="AF45" i="1"/>
  <c r="AF46" i="1"/>
  <c r="M52" i="1"/>
  <c r="AF50" i="1"/>
  <c r="E52" i="1"/>
  <c r="G52" i="1"/>
  <c r="O52" i="1"/>
  <c r="O54" i="1" s="1"/>
  <c r="O84" i="1" s="1"/>
  <c r="W52" i="1"/>
  <c r="W54" i="1" s="1"/>
  <c r="W84" i="1" s="1"/>
  <c r="AI65" i="1"/>
  <c r="AF65" i="1"/>
  <c r="AF29" i="1"/>
  <c r="AF43" i="1"/>
  <c r="U52" i="1"/>
  <c r="Y54" i="1"/>
  <c r="Y84" i="1" s="1"/>
  <c r="AF44" i="1"/>
  <c r="AI81" i="1"/>
  <c r="AL81" i="1" s="1"/>
  <c r="AF81" i="1"/>
  <c r="AF94" i="1"/>
  <c r="K52" i="1"/>
  <c r="K54" i="1" s="1"/>
  <c r="K84" i="1" s="1"/>
  <c r="AI29" i="1"/>
  <c r="AF40" i="1"/>
  <c r="AI40" i="1"/>
  <c r="U54" i="1"/>
  <c r="U84" i="1" s="1"/>
  <c r="S52" i="1"/>
  <c r="S54" i="1" s="1"/>
  <c r="S84" i="1" s="1"/>
  <c r="Q52" i="1"/>
  <c r="Q54" i="1" s="1"/>
  <c r="Q84" i="1" s="1"/>
  <c r="M54" i="1"/>
  <c r="M84" i="1" s="1"/>
  <c r="G54" i="1"/>
  <c r="G84" i="1" s="1"/>
  <c r="E54" i="1"/>
  <c r="C52" i="1"/>
  <c r="C54" i="1" s="1"/>
  <c r="AM11" i="1"/>
  <c r="E9" i="1"/>
  <c r="AI10" i="1" s="1"/>
  <c r="AH10" i="1" s="1"/>
  <c r="E65" i="1"/>
  <c r="E81" i="1"/>
  <c r="E84" i="1" s="1"/>
  <c r="AM13" i="1" l="1"/>
  <c r="AP13" i="1" s="1"/>
  <c r="AM15" i="1"/>
  <c r="AP15" i="1" s="1"/>
  <c r="AP11" i="1"/>
  <c r="AH65" i="1"/>
  <c r="AL65" i="1"/>
  <c r="AI46" i="1"/>
  <c r="AI43" i="1"/>
  <c r="AI49" i="1"/>
  <c r="AI48" i="1"/>
  <c r="AH29" i="1"/>
  <c r="AL29" i="1"/>
  <c r="AH81" i="1"/>
  <c r="M96" i="1"/>
  <c r="M107" i="1" s="1"/>
  <c r="Y96" i="1"/>
  <c r="Y107" i="1" s="1"/>
  <c r="K96" i="1"/>
  <c r="K107" i="1" s="1"/>
  <c r="I96" i="1"/>
  <c r="I107" i="1" s="1"/>
  <c r="O96" i="1"/>
  <c r="O107" i="1" s="1"/>
  <c r="Q96" i="1"/>
  <c r="Q107" i="1" s="1"/>
  <c r="AA96" i="1"/>
  <c r="AA107" i="1" s="1"/>
  <c r="W96" i="1"/>
  <c r="W107" i="1" s="1"/>
  <c r="S96" i="1"/>
  <c r="S107" i="1" s="1"/>
  <c r="U96" i="1"/>
  <c r="U107" i="1" s="1"/>
  <c r="G96" i="1"/>
  <c r="G107" i="1" s="1"/>
  <c r="AM52" i="1"/>
  <c r="AP52" i="1" s="1"/>
  <c r="AF52" i="1"/>
  <c r="AF54" i="1" s="1"/>
  <c r="AF84" i="1" s="1"/>
  <c r="AI11" i="1"/>
  <c r="AL11" i="1" s="1"/>
  <c r="E96" i="1"/>
  <c r="E107" i="1" s="1"/>
  <c r="E10" i="1"/>
  <c r="C9" i="1" s="1"/>
  <c r="AH48" i="1" l="1"/>
  <c r="AL48" i="1"/>
  <c r="AL49" i="1"/>
  <c r="AH49" i="1"/>
  <c r="AH43" i="1"/>
  <c r="AL43" i="1"/>
  <c r="AH46" i="1"/>
  <c r="AL46" i="1"/>
  <c r="AM54" i="1"/>
  <c r="AI52" i="1"/>
  <c r="AH52" i="1" s="1"/>
  <c r="C11" i="1"/>
  <c r="C13" i="1" s="1"/>
  <c r="AF9" i="1"/>
  <c r="AF96" i="1"/>
  <c r="AF107" i="1" s="1"/>
  <c r="AI13" i="1"/>
  <c r="AL13" i="1" s="1"/>
  <c r="AP54" i="1" l="1"/>
  <c r="AM84" i="1"/>
  <c r="AL52" i="1"/>
  <c r="AL15" i="1"/>
  <c r="AI54" i="1"/>
  <c r="AF11" i="1"/>
  <c r="AH11" i="1" s="1"/>
  <c r="AH9" i="1"/>
  <c r="AI15" i="1"/>
  <c r="AH13" i="1"/>
  <c r="C84" i="1"/>
  <c r="C86" i="1" s="1"/>
  <c r="C88" i="1" s="1"/>
  <c r="AF13" i="1"/>
  <c r="C15" i="1"/>
  <c r="AP84" i="1" l="1"/>
  <c r="AM86" i="1"/>
  <c r="AP86" i="1" s="1"/>
  <c r="AH54" i="1"/>
  <c r="AI84" i="1"/>
  <c r="AL54" i="1"/>
  <c r="AF86" i="1"/>
  <c r="AF88" i="1" s="1"/>
  <c r="AI7" i="1" s="1"/>
  <c r="AH15" i="1"/>
  <c r="AF15" i="1"/>
  <c r="C96" i="1"/>
  <c r="C107" i="1" s="1"/>
  <c r="AH84" i="1" l="1"/>
  <c r="AL84" i="1"/>
  <c r="AI86" i="1"/>
  <c r="AH86" i="1" s="1"/>
  <c r="AL86" i="1" l="1"/>
  <c r="AI88" i="1"/>
  <c r="AH88" i="1" l="1"/>
  <c r="AM7" i="1"/>
  <c r="AM88" i="1" s="1"/>
  <c r="AL88" i="1" l="1"/>
  <c r="AQ7" i="1"/>
  <c r="AQ88" i="1" s="1"/>
  <c r="AP88" i="1" l="1"/>
  <c r="AU7" i="1"/>
  <c r="AU88" i="1" s="1"/>
  <c r="AT88" i="1" l="1"/>
  <c r="AY7" i="1"/>
  <c r="AY88" i="1" s="1"/>
  <c r="AX88" i="1" l="1"/>
  <c r="BC7" i="1"/>
  <c r="BC88" i="1" s="1"/>
  <c r="BB88" i="1" s="1"/>
  <c r="H3" i="6"/>
  <c r="G6" i="28" l="1"/>
  <c r="O6" i="28" s="1"/>
  <c r="G12" i="27"/>
  <c r="G9" i="6"/>
  <c r="H11" i="6"/>
  <c r="G12" i="28" l="1"/>
  <c r="O12" i="28" s="1"/>
  <c r="H13" i="6"/>
  <c r="G48" i="27" s="1"/>
  <c r="G13" i="6"/>
  <c r="H95" i="6"/>
  <c r="H96" i="6" s="1"/>
  <c r="H84" i="6"/>
  <c r="G11" i="6"/>
  <c r="H15" i="6"/>
  <c r="G15" i="6" s="1"/>
  <c r="L11" i="6"/>
  <c r="L13" i="6" s="1"/>
  <c r="K9" i="6"/>
  <c r="G48" i="28" l="1"/>
  <c r="O48" i="28" s="1"/>
  <c r="G49" i="27"/>
  <c r="I6" i="27"/>
  <c r="H9" i="36"/>
  <c r="H86" i="6"/>
  <c r="H97" i="6"/>
  <c r="G84" i="6"/>
  <c r="T9" i="6"/>
  <c r="S9" i="6" s="1"/>
  <c r="O9" i="6"/>
  <c r="H48" i="27"/>
  <c r="K11" i="6"/>
  <c r="G49" i="28" l="1"/>
  <c r="O49" i="28" s="1"/>
  <c r="I6" i="28"/>
  <c r="Q6" i="28" s="1"/>
  <c r="G9" i="23"/>
  <c r="J6" i="27"/>
  <c r="J6" i="28" s="1"/>
  <c r="J12" i="28" s="1"/>
  <c r="H48" i="28"/>
  <c r="P48" i="28" s="1"/>
  <c r="H49" i="27"/>
  <c r="H88" i="6"/>
  <c r="G88" i="6" s="1"/>
  <c r="G86" i="6"/>
  <c r="L95" i="6"/>
  <c r="L96" i="6" s="1"/>
  <c r="L84" i="6"/>
  <c r="K13" i="6"/>
  <c r="L15" i="6"/>
  <c r="X9" i="6"/>
  <c r="W9" i="6" s="1"/>
  <c r="G56" i="28" l="1"/>
  <c r="G75" i="26" s="1"/>
  <c r="G76" i="26" s="1"/>
  <c r="E76" i="28"/>
  <c r="E78" i="28"/>
  <c r="E80" i="28"/>
  <c r="H49" i="28"/>
  <c r="P49" i="28" s="1"/>
  <c r="K6" i="27"/>
  <c r="K6" i="28" s="1"/>
  <c r="K12" i="28" s="1"/>
  <c r="J12" i="27"/>
  <c r="J59" i="27" s="1"/>
  <c r="L7" i="6"/>
  <c r="L86" i="6"/>
  <c r="L97" i="6"/>
  <c r="K15" i="6"/>
  <c r="AB9" i="6"/>
  <c r="AB11" i="6" s="1"/>
  <c r="X11" i="6"/>
  <c r="K84" i="6"/>
  <c r="G75" i="28" l="1"/>
  <c r="O75" i="28" s="1"/>
  <c r="H56" i="28"/>
  <c r="L6" i="27"/>
  <c r="L6" i="28" s="1"/>
  <c r="L12" i="28" s="1"/>
  <c r="K12" i="27"/>
  <c r="K59" i="27" s="1"/>
  <c r="L88" i="6"/>
  <c r="AA9" i="6"/>
  <c r="AA11" i="6"/>
  <c r="X13" i="6"/>
  <c r="K86" i="6"/>
  <c r="AB13" i="6"/>
  <c r="G76" i="28" l="1"/>
  <c r="O76" i="28" s="1"/>
  <c r="H75" i="28"/>
  <c r="H75" i="26"/>
  <c r="P7" i="6"/>
  <c r="M88" i="6"/>
  <c r="K88" i="6"/>
  <c r="L12" i="27"/>
  <c r="L59" i="27" s="1"/>
  <c r="S10" i="23"/>
  <c r="X95" i="6"/>
  <c r="X96" i="6" s="1"/>
  <c r="X84" i="6"/>
  <c r="AB95" i="6"/>
  <c r="AB96" i="6" s="1"/>
  <c r="AB84" i="6"/>
  <c r="AB15" i="6"/>
  <c r="AA13" i="6"/>
  <c r="X15" i="6"/>
  <c r="P75" i="28" l="1"/>
  <c r="L9" i="23"/>
  <c r="H76" i="26"/>
  <c r="H76" i="28"/>
  <c r="H56" i="27"/>
  <c r="P56" i="28" s="1"/>
  <c r="O10" i="23"/>
  <c r="X86" i="6"/>
  <c r="X97" i="6"/>
  <c r="AA15" i="6"/>
  <c r="AB86" i="6"/>
  <c r="AB97" i="6"/>
  <c r="AA84" i="6"/>
  <c r="P76" i="28" l="1"/>
  <c r="L11" i="23"/>
  <c r="K9" i="23"/>
  <c r="AA86" i="6"/>
  <c r="M11" i="23" l="1"/>
  <c r="L25" i="31"/>
  <c r="L29" i="31" s="1"/>
  <c r="L100" i="23"/>
  <c r="H19" i="27"/>
  <c r="L15" i="23"/>
  <c r="D101" i="13"/>
  <c r="H21" i="27" l="1"/>
  <c r="H19" i="26"/>
  <c r="F47" i="27"/>
  <c r="D114" i="13"/>
  <c r="G101" i="13"/>
  <c r="D104" i="13"/>
  <c r="G16" i="13"/>
  <c r="D18" i="13"/>
  <c r="G18" i="13" s="1"/>
  <c r="D115" i="13"/>
  <c r="P22" i="28" l="1"/>
  <c r="H19" i="28"/>
  <c r="P17" i="28"/>
  <c r="H21" i="26"/>
  <c r="H23" i="27"/>
  <c r="D116" i="13"/>
  <c r="D117" i="13" s="1"/>
  <c r="F47" i="28"/>
  <c r="N47" i="28" s="1"/>
  <c r="F49" i="27"/>
  <c r="D106" i="13"/>
  <c r="G104" i="13"/>
  <c r="F56" i="27" l="1"/>
  <c r="F49" i="28"/>
  <c r="N49" i="28" s="1"/>
  <c r="H59" i="27"/>
  <c r="H21" i="28"/>
  <c r="P21" i="28" s="1"/>
  <c r="G106" i="13"/>
  <c r="D108" i="13"/>
  <c r="F56" i="28" l="1"/>
  <c r="N56" i="28" s="1"/>
  <c r="F59" i="27"/>
  <c r="H7" i="13"/>
  <c r="H108" i="13" s="1"/>
  <c r="F61" i="26" l="1"/>
  <c r="F59" i="28"/>
  <c r="N59" i="28" s="1"/>
  <c r="F75" i="26"/>
  <c r="F76" i="26" s="1"/>
  <c r="F75" i="28"/>
  <c r="F60" i="27"/>
  <c r="L7" i="13"/>
  <c r="L108" i="13" s="1"/>
  <c r="K108" i="13" s="1"/>
  <c r="G108" i="13"/>
  <c r="N75" i="28" l="1"/>
  <c r="F77" i="26"/>
  <c r="F78" i="26" s="1"/>
  <c r="F60" i="28"/>
  <c r="N60" i="28" s="1"/>
  <c r="F76" i="28"/>
  <c r="N76" i="28" s="1"/>
  <c r="G58" i="27"/>
  <c r="F65" i="27"/>
  <c r="P7" i="13"/>
  <c r="P108" i="13" s="1"/>
  <c r="O108" i="13" s="1"/>
  <c r="F79" i="26" l="1"/>
  <c r="F61" i="28"/>
  <c r="N61" i="28" s="1"/>
  <c r="G58" i="28"/>
  <c r="O58" i="28" s="1"/>
  <c r="F74" i="27"/>
  <c r="N74" i="28" s="1"/>
  <c r="F80" i="26"/>
  <c r="T7" i="13"/>
  <c r="T108" i="13" s="1"/>
  <c r="S108" i="13" s="1"/>
  <c r="F79" i="27" l="1"/>
  <c r="X7" i="13"/>
  <c r="X108" i="13" s="1"/>
  <c r="W108" i="13" s="1"/>
  <c r="F65" i="28" l="1"/>
  <c r="N65" i="28" s="1"/>
  <c r="AB7" i="13"/>
  <c r="AB108" i="13" s="1"/>
  <c r="AA108" i="13" s="1"/>
  <c r="G13" i="19"/>
  <c r="K13" i="19"/>
  <c r="G15" i="19"/>
  <c r="H96" i="19"/>
  <c r="H97" i="19" s="1"/>
  <c r="K85" i="19"/>
  <c r="F77" i="28" l="1"/>
  <c r="N77" i="28" s="1"/>
  <c r="H98" i="19"/>
  <c r="G85" i="19"/>
  <c r="H87" i="19"/>
  <c r="F79" i="28" l="1"/>
  <c r="N79" i="28" s="1"/>
  <c r="F78" i="28"/>
  <c r="N78" i="28" s="1"/>
  <c r="G87" i="19"/>
  <c r="K87" i="19"/>
  <c r="H89" i="19"/>
  <c r="F80" i="28" l="1"/>
  <c r="N80" i="28" s="1"/>
  <c r="G89" i="19"/>
  <c r="L7" i="19"/>
  <c r="L89" i="19" s="1"/>
  <c r="L15" i="19" l="1"/>
  <c r="P7" i="19" l="1"/>
  <c r="K89" i="19"/>
  <c r="K15" i="19"/>
  <c r="P89" i="19" l="1"/>
  <c r="P15" i="19"/>
  <c r="O15" i="19" l="1"/>
  <c r="T7" i="19"/>
  <c r="O89" i="19"/>
  <c r="T89" i="19" l="1"/>
  <c r="T15" i="19"/>
  <c r="S15" i="19" l="1"/>
  <c r="X7" i="19"/>
  <c r="S89" i="19"/>
  <c r="X15" i="19" l="1"/>
  <c r="X89" i="19"/>
  <c r="AB7" i="19" l="1"/>
  <c r="W89" i="19"/>
  <c r="W15" i="19"/>
  <c r="AB89" i="19" l="1"/>
  <c r="AA89" i="19" s="1"/>
  <c r="AB15" i="19"/>
  <c r="AA15" i="19" s="1"/>
  <c r="K10" i="23"/>
  <c r="H11" i="23"/>
  <c r="H25" i="31" l="1"/>
  <c r="H100" i="23"/>
  <c r="K100" i="23" s="1"/>
  <c r="G11" i="23"/>
  <c r="G19" i="27"/>
  <c r="G21" i="27" s="1"/>
  <c r="H15" i="23"/>
  <c r="K11" i="23"/>
  <c r="G23" i="27" l="1"/>
  <c r="I15" i="23"/>
  <c r="M15" i="23"/>
  <c r="K25" i="31"/>
  <c r="G25" i="31"/>
  <c r="G56" i="27"/>
  <c r="O56" i="28" s="1"/>
  <c r="G19" i="26"/>
  <c r="K15" i="23"/>
  <c r="G15" i="23"/>
  <c r="G100" i="23"/>
  <c r="H102" i="23"/>
  <c r="G19" i="28" l="1"/>
  <c r="O22" i="28"/>
  <c r="G59" i="27"/>
  <c r="H31" i="31"/>
  <c r="H30" i="31"/>
  <c r="G21" i="26"/>
  <c r="G23" i="26" s="1"/>
  <c r="O17" i="28"/>
  <c r="H33" i="31"/>
  <c r="G33" i="31" s="1"/>
  <c r="H169" i="31"/>
  <c r="H180" i="31" s="1"/>
  <c r="G29" i="31"/>
  <c r="K31" i="31"/>
  <c r="L7" i="23"/>
  <c r="L102" i="23" s="1"/>
  <c r="M102" i="23" s="1"/>
  <c r="G102" i="23"/>
  <c r="G60" i="27" l="1"/>
  <c r="G21" i="28"/>
  <c r="O21" i="28" s="1"/>
  <c r="G59" i="26"/>
  <c r="K102" i="23"/>
  <c r="G169" i="31"/>
  <c r="H171" i="31"/>
  <c r="H173" i="31" s="1"/>
  <c r="P7" i="23"/>
  <c r="G60" i="26" l="1"/>
  <c r="G61" i="26" s="1"/>
  <c r="G65" i="27"/>
  <c r="H58" i="26"/>
  <c r="H58" i="27"/>
  <c r="G77" i="26"/>
  <c r="G23" i="28"/>
  <c r="O23" i="28" s="1"/>
  <c r="G171" i="31"/>
  <c r="G74" i="27" l="1"/>
  <c r="O74" i="28" s="1"/>
  <c r="H60" i="27"/>
  <c r="G79" i="26"/>
  <c r="G59" i="28"/>
  <c r="O59" i="28" s="1"/>
  <c r="G78" i="26"/>
  <c r="L7" i="31"/>
  <c r="G173" i="31"/>
  <c r="G79" i="27" l="1"/>
  <c r="H65" i="27"/>
  <c r="I58" i="27"/>
  <c r="G60" i="28"/>
  <c r="O60" i="28" s="1"/>
  <c r="G80" i="26"/>
  <c r="C105" i="5"/>
  <c r="C108" i="5" s="1"/>
  <c r="AF102" i="5"/>
  <c r="AF105" i="5" s="1"/>
  <c r="AF108" i="5" s="1"/>
  <c r="H74" i="27" l="1"/>
  <c r="P74" i="28" s="1"/>
  <c r="G65" i="28"/>
  <c r="O65" i="28" s="1"/>
  <c r="G61" i="28"/>
  <c r="O61" i="28" s="1"/>
  <c r="H58" i="28"/>
  <c r="P58" i="28" s="1"/>
  <c r="AG108" i="5"/>
  <c r="AG109" i="5" s="1"/>
  <c r="AF111" i="5"/>
  <c r="G77" i="28" l="1"/>
  <c r="O77" i="28" s="1"/>
  <c r="H79" i="27"/>
  <c r="AF113" i="5"/>
  <c r="AG111" i="5"/>
  <c r="J60" i="26"/>
  <c r="L4" i="6"/>
  <c r="G79" i="28" l="1"/>
  <c r="O79" i="28" s="1"/>
  <c r="G78" i="28"/>
  <c r="O78" i="28" s="1"/>
  <c r="H65" i="28"/>
  <c r="P65" i="28" s="1"/>
  <c r="P4" i="6"/>
  <c r="P10" i="6"/>
  <c r="J61" i="26"/>
  <c r="J77" i="26"/>
  <c r="J78" i="26" s="1"/>
  <c r="K58" i="26"/>
  <c r="K60" i="26" s="1"/>
  <c r="T10" i="6"/>
  <c r="T11" i="6" s="1"/>
  <c r="T13" i="6" s="1"/>
  <c r="I7" i="27"/>
  <c r="O10" i="6"/>
  <c r="G80" i="28" l="1"/>
  <c r="O80" i="28" s="1"/>
  <c r="K61" i="26"/>
  <c r="L58" i="26"/>
  <c r="L60" i="26" s="1"/>
  <c r="K77" i="26"/>
  <c r="K78" i="26" s="1"/>
  <c r="W11" i="6"/>
  <c r="S10" i="6"/>
  <c r="W10" i="6"/>
  <c r="H10" i="36"/>
  <c r="H70" i="36" s="1"/>
  <c r="P11" i="6"/>
  <c r="T95" i="6"/>
  <c r="T96" i="6" s="1"/>
  <c r="T84" i="6"/>
  <c r="W13" i="6"/>
  <c r="I12" i="27"/>
  <c r="I7" i="28"/>
  <c r="Q7" i="28" s="1"/>
  <c r="T15" i="6"/>
  <c r="W15" i="6" s="1"/>
  <c r="I12" i="28" l="1"/>
  <c r="Q12" i="28" s="1"/>
  <c r="L61" i="26"/>
  <c r="L77" i="26"/>
  <c r="L78" i="26" s="1"/>
  <c r="P13" i="6"/>
  <c r="O11" i="6"/>
  <c r="S11" i="6"/>
  <c r="H73" i="36"/>
  <c r="H77" i="36"/>
  <c r="H80" i="36" s="1"/>
  <c r="H84" i="36" s="1"/>
  <c r="H87" i="36" s="1"/>
  <c r="W84" i="6"/>
  <c r="T97" i="6"/>
  <c r="T86" i="6"/>
  <c r="W86" i="6" s="1"/>
  <c r="P15" i="6" l="1"/>
  <c r="S13" i="6"/>
  <c r="O13" i="6"/>
  <c r="P95" i="6"/>
  <c r="P96" i="6" s="1"/>
  <c r="P84" i="6"/>
  <c r="I48" i="27"/>
  <c r="I48" i="28" l="1"/>
  <c r="Q48" i="28" s="1"/>
  <c r="I49" i="27"/>
  <c r="P86" i="6"/>
  <c r="O86" i="6" s="1"/>
  <c r="S84" i="6"/>
  <c r="O84" i="6"/>
  <c r="P97" i="6"/>
  <c r="O15" i="6"/>
  <c r="S15" i="6"/>
  <c r="I56" i="27" l="1"/>
  <c r="I49" i="28"/>
  <c r="Q49" i="28" s="1"/>
  <c r="S86" i="6"/>
  <c r="P88" i="6"/>
  <c r="I56" i="28" l="1"/>
  <c r="Q56" i="28" s="1"/>
  <c r="T7" i="6"/>
  <c r="T88" i="6" s="1"/>
  <c r="X7" i="6" s="1"/>
  <c r="X88" i="6" s="1"/>
  <c r="AB7" i="6" s="1"/>
  <c r="AB88" i="6" s="1"/>
  <c r="AA88" i="6" s="1"/>
  <c r="O88" i="6"/>
  <c r="I75" i="28" l="1"/>
  <c r="I75" i="26"/>
  <c r="P9" i="23" s="1"/>
  <c r="W88" i="6"/>
  <c r="S88" i="6"/>
  <c r="I76" i="28" l="1"/>
  <c r="Q75" i="28"/>
  <c r="I76" i="26"/>
  <c r="P11" i="23"/>
  <c r="Q11" i="23" s="1"/>
  <c r="O9" i="23"/>
  <c r="S9" i="23"/>
  <c r="Q76" i="28" l="1"/>
  <c r="S11" i="23"/>
  <c r="P25" i="31"/>
  <c r="P15" i="23"/>
  <c r="Q15" i="23" s="1"/>
  <c r="O11" i="23"/>
  <c r="P100" i="23"/>
  <c r="I19" i="27"/>
  <c r="O15" i="23" l="1"/>
  <c r="S15" i="23"/>
  <c r="I21" i="27"/>
  <c r="I19" i="26"/>
  <c r="S25" i="31"/>
  <c r="O25" i="31"/>
  <c r="P29" i="31"/>
  <c r="S100" i="23"/>
  <c r="O100" i="23"/>
  <c r="P102" i="23"/>
  <c r="Q102" i="23" s="1"/>
  <c r="Q22" i="28" l="1"/>
  <c r="I19" i="28"/>
  <c r="I23" i="27"/>
  <c r="O102" i="23"/>
  <c r="T7" i="23"/>
  <c r="T102" i="23" s="1"/>
  <c r="I21" i="26"/>
  <c r="Q17" i="28"/>
  <c r="S29" i="31"/>
  <c r="P31" i="31"/>
  <c r="I23" i="26" l="1"/>
  <c r="I21" i="28"/>
  <c r="Q21" i="28" s="1"/>
  <c r="I59" i="27"/>
  <c r="S31" i="31"/>
  <c r="P169" i="31"/>
  <c r="X7" i="23"/>
  <c r="X102" i="23" s="1"/>
  <c r="S102" i="23"/>
  <c r="I59" i="26" l="1"/>
  <c r="I23" i="28"/>
  <c r="Q23" i="28" s="1"/>
  <c r="I60" i="27"/>
  <c r="P171" i="31"/>
  <c r="P180" i="31"/>
  <c r="S169" i="31"/>
  <c r="W102" i="23"/>
  <c r="AB7" i="23"/>
  <c r="AB102" i="23" s="1"/>
  <c r="AA102" i="23" s="1"/>
  <c r="J58" i="27" l="1"/>
  <c r="J60" i="27" s="1"/>
  <c r="I65" i="27"/>
  <c r="I59" i="28"/>
  <c r="Q59" i="28" s="1"/>
  <c r="S171" i="31"/>
  <c r="I74" i="27" l="1"/>
  <c r="Q74" i="28" s="1"/>
  <c r="J65" i="27"/>
  <c r="J79" i="27" s="1"/>
  <c r="J65" i="28" s="1"/>
  <c r="J79" i="28" s="1"/>
  <c r="J80" i="28" s="1"/>
  <c r="K58" i="27"/>
  <c r="K60" i="27" s="1"/>
  <c r="K10" i="21"/>
  <c r="F9" i="22"/>
  <c r="F17" i="22" s="1"/>
  <c r="I79" i="27" l="1"/>
  <c r="K65" i="27"/>
  <c r="K79" i="27" s="1"/>
  <c r="K65" i="28" s="1"/>
  <c r="K79" i="28" s="1"/>
  <c r="K80" i="28" s="1"/>
  <c r="L58" i="27"/>
  <c r="L60" i="27" s="1"/>
  <c r="J74" i="27"/>
  <c r="L11" i="21"/>
  <c r="G5" i="22"/>
  <c r="G9" i="22" s="1"/>
  <c r="G17" i="22" s="1"/>
  <c r="O10" i="21"/>
  <c r="O11" i="21"/>
  <c r="I65" i="28" l="1"/>
  <c r="Q65" i="28" s="1"/>
  <c r="K74" i="27"/>
  <c r="L65" i="27"/>
  <c r="L79" i="27" s="1"/>
  <c r="L65" i="28" s="1"/>
  <c r="L79" i="28" s="1"/>
  <c r="L80" i="28" s="1"/>
  <c r="K11" i="21"/>
  <c r="Q11" i="21"/>
  <c r="M11" i="21"/>
  <c r="L10" i="31"/>
  <c r="H5" i="22"/>
  <c r="H8" i="22" s="1"/>
  <c r="H9" i="22" s="1"/>
  <c r="L13" i="21"/>
  <c r="L15" i="21" s="1"/>
  <c r="K15" i="21" s="1"/>
  <c r="L74" i="27" l="1"/>
  <c r="H4" i="26"/>
  <c r="H12" i="26" s="1"/>
  <c r="K10" i="31"/>
  <c r="O10" i="31"/>
  <c r="L96" i="21"/>
  <c r="L97" i="21" s="1"/>
  <c r="Q29" i="31"/>
  <c r="L85" i="21"/>
  <c r="L98" i="21" s="1"/>
  <c r="O13" i="21"/>
  <c r="I5" i="22"/>
  <c r="I9" i="22" s="1"/>
  <c r="H14" i="22"/>
  <c r="H15" i="22" s="1"/>
  <c r="I12" i="22" s="1"/>
  <c r="I15" i="22" s="1"/>
  <c r="J12" i="22" s="1"/>
  <c r="O85" i="21"/>
  <c r="K85" i="21"/>
  <c r="L87" i="21"/>
  <c r="K29" i="31" l="1"/>
  <c r="L31" i="31"/>
  <c r="L33" i="31" s="1"/>
  <c r="M33" i="31" s="1"/>
  <c r="M29" i="31"/>
  <c r="O29" i="31"/>
  <c r="H4" i="28"/>
  <c r="P4" i="28" s="1"/>
  <c r="L89" i="21"/>
  <c r="K87" i="21"/>
  <c r="O87" i="21"/>
  <c r="H35" i="22"/>
  <c r="H36" i="22" s="1"/>
  <c r="I17" i="22"/>
  <c r="J5" i="22"/>
  <c r="H17" i="22"/>
  <c r="L169" i="31" l="1"/>
  <c r="H12" i="28"/>
  <c r="P12" i="28" s="1"/>
  <c r="K33" i="31"/>
  <c r="O31" i="31"/>
  <c r="H23" i="26"/>
  <c r="M169" i="31"/>
  <c r="Q169" i="31"/>
  <c r="K169" i="31"/>
  <c r="L180" i="31"/>
  <c r="O169" i="31"/>
  <c r="L171" i="31"/>
  <c r="P7" i="21"/>
  <c r="J8" i="22"/>
  <c r="J9" i="22" s="1"/>
  <c r="H59" i="26" l="1"/>
  <c r="H23" i="28"/>
  <c r="P23" i="28" s="1"/>
  <c r="K171" i="31"/>
  <c r="O171" i="31"/>
  <c r="L173" i="31"/>
  <c r="J14" i="22"/>
  <c r="J15" i="22" s="1"/>
  <c r="J17" i="22" s="1"/>
  <c r="P15" i="21"/>
  <c r="P89" i="21"/>
  <c r="H60" i="26" l="1"/>
  <c r="I58" i="26" s="1"/>
  <c r="I60" i="26" s="1"/>
  <c r="H59" i="28"/>
  <c r="P59" i="28" s="1"/>
  <c r="K173" i="31"/>
  <c r="P7" i="31"/>
  <c r="T7" i="21"/>
  <c r="T89" i="21" s="1"/>
  <c r="S89" i="21" s="1"/>
  <c r="O89" i="21"/>
  <c r="S15" i="21"/>
  <c r="O15" i="21"/>
  <c r="J35" i="22"/>
  <c r="J36" i="22" s="1"/>
  <c r="J58" i="26" l="1"/>
  <c r="H61" i="26"/>
  <c r="H77" i="26"/>
  <c r="I61" i="26"/>
  <c r="I77" i="26"/>
  <c r="I79" i="26" s="1"/>
  <c r="H60" i="28"/>
  <c r="P60" i="28" s="1"/>
  <c r="P173" i="31"/>
  <c r="P33" i="31"/>
  <c r="Q33" i="31" s="1"/>
  <c r="X7" i="21"/>
  <c r="X89" i="21" s="1"/>
  <c r="H79" i="26" l="1"/>
  <c r="H78" i="26"/>
  <c r="I78" i="26"/>
  <c r="I80" i="26"/>
  <c r="H77" i="28"/>
  <c r="P77" i="28" s="1"/>
  <c r="I58" i="28"/>
  <c r="Q58" i="28" s="1"/>
  <c r="H61" i="28"/>
  <c r="P61" i="28" s="1"/>
  <c r="AB7" i="21"/>
  <c r="AB89" i="21" s="1"/>
  <c r="AA89" i="21" s="1"/>
  <c r="W89" i="21"/>
  <c r="S33" i="31"/>
  <c r="O33" i="31"/>
  <c r="T7" i="31"/>
  <c r="T173" i="31" s="1"/>
  <c r="O173" i="31"/>
  <c r="H80" i="26" l="1"/>
  <c r="I60" i="28"/>
  <c r="Q60" i="28" s="1"/>
  <c r="H78" i="28"/>
  <c r="P78" i="28" s="1"/>
  <c r="H79" i="28"/>
  <c r="P79" i="28" s="1"/>
  <c r="X7" i="31"/>
  <c r="X173" i="31" s="1"/>
  <c r="S173" i="31"/>
  <c r="H80" i="28" l="1"/>
  <c r="P80" i="28" s="1"/>
  <c r="J58" i="28"/>
  <c r="I77" i="28"/>
  <c r="Q77" i="28" s="1"/>
  <c r="I61" i="28"/>
  <c r="Q61" i="28" s="1"/>
  <c r="AB7" i="31"/>
  <c r="AB173" i="31" s="1"/>
  <c r="AA173" i="31" s="1"/>
  <c r="W173" i="31"/>
  <c r="J59" i="28" l="1"/>
  <c r="J60" i="28"/>
  <c r="I78" i="28"/>
  <c r="Q78" i="28" s="1"/>
  <c r="I79" i="28"/>
  <c r="Q79" i="28" s="1"/>
  <c r="I80" i="28" l="1"/>
  <c r="Q80" i="28" s="1"/>
  <c r="J77" i="28"/>
  <c r="J78" i="28" s="1"/>
  <c r="K58" i="28"/>
  <c r="K59" i="28" s="1"/>
  <c r="K60" i="28" s="1"/>
  <c r="L58" i="28" l="1"/>
  <c r="K77" i="28"/>
  <c r="K78" i="28" s="1"/>
  <c r="L60" i="28" l="1"/>
  <c r="L77" i="28" s="1"/>
  <c r="L78" i="28" s="1"/>
  <c r="L59" i="28"/>
</calcChain>
</file>

<file path=xl/comments1.xml><?xml version="1.0" encoding="utf-8"?>
<comments xmlns="http://schemas.openxmlformats.org/spreadsheetml/2006/main">
  <authors>
    <author>Cheryl Phan</author>
  </authors>
  <commentList>
    <comment ref="C100" authorId="0">
      <text>
        <r>
          <rPr>
            <sz val="9"/>
            <color indexed="81"/>
            <rFont val="Tahoma"/>
            <family val="2"/>
          </rPr>
          <t>Solution Tree</t>
        </r>
      </text>
    </comment>
    <comment ref="C101" authorId="0">
      <text>
        <r>
          <rPr>
            <sz val="9"/>
            <color indexed="81"/>
            <rFont val="Tahoma"/>
            <family val="2"/>
          </rPr>
          <t>2 days inservice</t>
        </r>
      </text>
    </comment>
    <comment ref="C102" authorId="0">
      <text>
        <r>
          <rPr>
            <sz val="9"/>
            <color indexed="81"/>
            <rFont val="Tahoma"/>
            <family val="2"/>
          </rPr>
          <t>Indirect costs, but could be less, depending on how much we actually expense this year</t>
        </r>
      </text>
    </comment>
  </commentList>
</comments>
</file>

<file path=xl/comments2.xml><?xml version="1.0" encoding="utf-8"?>
<comments xmlns="http://schemas.openxmlformats.org/spreadsheetml/2006/main">
  <authors>
    <author>Cheryl Phan</author>
  </authors>
  <commentList>
    <comment ref="C100" authorId="0">
      <text>
        <r>
          <rPr>
            <sz val="9"/>
            <color indexed="81"/>
            <rFont val="Tahoma"/>
            <family val="2"/>
          </rPr>
          <t>Solution Tree</t>
        </r>
      </text>
    </comment>
    <comment ref="C101" authorId="0">
      <text>
        <r>
          <rPr>
            <sz val="9"/>
            <color indexed="81"/>
            <rFont val="Tahoma"/>
            <family val="2"/>
          </rPr>
          <t>2 days inservice</t>
        </r>
      </text>
    </comment>
    <comment ref="C102" authorId="0">
      <text>
        <r>
          <rPr>
            <sz val="9"/>
            <color indexed="81"/>
            <rFont val="Tahoma"/>
            <family val="2"/>
          </rPr>
          <t>Indirect costs, but could be less, depending on how much we actually expense this year</t>
        </r>
      </text>
    </comment>
  </commentList>
</comments>
</file>

<file path=xl/sharedStrings.xml><?xml version="1.0" encoding="utf-8"?>
<sst xmlns="http://schemas.openxmlformats.org/spreadsheetml/2006/main" count="4345" uniqueCount="963">
  <si>
    <t>TOTAL EXPENDITURES</t>
  </si>
  <si>
    <t>5000</t>
  </si>
  <si>
    <t>Outside Transp.</t>
  </si>
  <si>
    <t>5817</t>
  </si>
  <si>
    <t>Other Services</t>
  </si>
  <si>
    <t>5814</t>
  </si>
  <si>
    <t>Outside Services</t>
  </si>
  <si>
    <t>5813</t>
  </si>
  <si>
    <t>Consultants</t>
  </si>
  <si>
    <t>5807</t>
  </si>
  <si>
    <t>Field Trip Transp.</t>
  </si>
  <si>
    <t>5725</t>
  </si>
  <si>
    <t>Membership/Dues</t>
  </si>
  <si>
    <t>5310</t>
  </si>
  <si>
    <t>Conf. &amp; Travel</t>
  </si>
  <si>
    <t>5213</t>
  </si>
  <si>
    <t>Services, Other Oprtng Exp.</t>
  </si>
  <si>
    <t>Non-cap. Equipment</t>
  </si>
  <si>
    <t>4400</t>
  </si>
  <si>
    <t>Non-Inst. Materials</t>
  </si>
  <si>
    <t xml:space="preserve">4353 </t>
  </si>
  <si>
    <t>Inst. Materials</t>
  </si>
  <si>
    <t>4310</t>
  </si>
  <si>
    <t>Other Books</t>
  </si>
  <si>
    <t>4210</t>
  </si>
  <si>
    <t>Supplies</t>
  </si>
  <si>
    <t>Total Salaries and Benefits</t>
  </si>
  <si>
    <t>Benefits</t>
  </si>
  <si>
    <t xml:space="preserve">  </t>
  </si>
  <si>
    <t>Sub. Office</t>
  </si>
  <si>
    <t>2481</t>
  </si>
  <si>
    <t>Secretary</t>
  </si>
  <si>
    <t>2404</t>
  </si>
  <si>
    <t>Extra Clss Support</t>
  </si>
  <si>
    <t>2273</t>
  </si>
  <si>
    <t>Classified</t>
  </si>
  <si>
    <t>Inst. Coaches</t>
  </si>
  <si>
    <t>1901</t>
  </si>
  <si>
    <t>Director</t>
  </si>
  <si>
    <t>1305</t>
  </si>
  <si>
    <t>Counselor</t>
  </si>
  <si>
    <t>1204</t>
  </si>
  <si>
    <t>Subs</t>
  </si>
  <si>
    <t>1181</t>
  </si>
  <si>
    <t>Supplemental Tchr.</t>
  </si>
  <si>
    <t>1112</t>
  </si>
  <si>
    <t xml:space="preserve">Certificated </t>
  </si>
  <si>
    <t>Notes</t>
  </si>
  <si>
    <t>Budget</t>
  </si>
  <si>
    <t>Balance</t>
  </si>
  <si>
    <t xml:space="preserve">TOTAL AVAILABLE </t>
  </si>
  <si>
    <t>Prior Carryover</t>
  </si>
  <si>
    <t>Revenue</t>
  </si>
  <si>
    <t xml:space="preserve">Current Year </t>
  </si>
  <si>
    <t>Beginning Balance</t>
  </si>
  <si>
    <t>2016-2017</t>
  </si>
  <si>
    <t>Multi-year Projection</t>
  </si>
  <si>
    <t>District Office</t>
  </si>
  <si>
    <t>Site:</t>
  </si>
  <si>
    <t>RESC #:</t>
  </si>
  <si>
    <t>Title I, Part A</t>
  </si>
  <si>
    <t>Program:</t>
  </si>
  <si>
    <t>Rec'd</t>
  </si>
  <si>
    <t>To be rec'd</t>
  </si>
  <si>
    <t>Indirect Costs</t>
  </si>
  <si>
    <t>1110</t>
  </si>
  <si>
    <t>Intervention Tchr.</t>
  </si>
  <si>
    <t>1208</t>
  </si>
  <si>
    <t>Parent Instruction</t>
  </si>
  <si>
    <t>2101</t>
  </si>
  <si>
    <t>Para Lrning Asstnt</t>
  </si>
  <si>
    <t>Babysitter</t>
  </si>
  <si>
    <t>2901</t>
  </si>
  <si>
    <t>2924</t>
  </si>
  <si>
    <t>Parent Ed. Aide</t>
  </si>
  <si>
    <t>200 - DO</t>
  </si>
  <si>
    <t>STRS</t>
  </si>
  <si>
    <t>PERS</t>
  </si>
  <si>
    <t>SS</t>
  </si>
  <si>
    <t>Medicare</t>
  </si>
  <si>
    <t>H&amp;W</t>
  </si>
  <si>
    <t>SUI</t>
  </si>
  <si>
    <t>W/C</t>
  </si>
  <si>
    <t>310X</t>
  </si>
  <si>
    <t>320X</t>
  </si>
  <si>
    <t>330X</t>
  </si>
  <si>
    <t>331X</t>
  </si>
  <si>
    <t>340X</t>
  </si>
  <si>
    <t>350X</t>
  </si>
  <si>
    <t>360X</t>
  </si>
  <si>
    <t>370X</t>
  </si>
  <si>
    <t>390X</t>
  </si>
  <si>
    <t>OPEB</t>
  </si>
  <si>
    <t>Other Benefits</t>
  </si>
  <si>
    <t>4211</t>
  </si>
  <si>
    <t>4212</t>
  </si>
  <si>
    <t>Reference Books</t>
  </si>
  <si>
    <t>Library Books</t>
  </si>
  <si>
    <t xml:space="preserve">Report ran on </t>
  </si>
  <si>
    <t>010 - CFB</t>
  </si>
  <si>
    <t>020 - SH</t>
  </si>
  <si>
    <t>030 - SO</t>
  </si>
  <si>
    <t>040 - ST</t>
  </si>
  <si>
    <t>050 - SC</t>
  </si>
  <si>
    <t>060 - Sylvan</t>
  </si>
  <si>
    <t>070 - Woodrow</t>
  </si>
  <si>
    <t>080 - EU</t>
  </si>
  <si>
    <t>090 - OR</t>
  </si>
  <si>
    <t>110 - DS</t>
  </si>
  <si>
    <t>120 - MAS</t>
  </si>
  <si>
    <t>130 - CR</t>
  </si>
  <si>
    <t>15% c/o to 17-18</t>
  </si>
  <si>
    <t>Prior Year Current Year</t>
  </si>
  <si>
    <t>Total Current Year Award</t>
  </si>
  <si>
    <t>2910</t>
  </si>
  <si>
    <t>A. Bandy</t>
  </si>
  <si>
    <t>M. Reed</t>
  </si>
  <si>
    <t>Interpreters</t>
  </si>
  <si>
    <t>TOTAL</t>
  </si>
  <si>
    <t>S. Drabert, G. Mroczka, V. Shuping, add L.. Crawford</t>
  </si>
  <si>
    <t>5752</t>
  </si>
  <si>
    <t>Direct Srvc-Food Srvc.</t>
  </si>
  <si>
    <t>5809</t>
  </si>
  <si>
    <t>Fees</t>
  </si>
  <si>
    <t>5908</t>
  </si>
  <si>
    <t>Postage</t>
  </si>
  <si>
    <t>5806</t>
  </si>
  <si>
    <t>Outside Interpreter</t>
  </si>
  <si>
    <t>5607</t>
  </si>
  <si>
    <t>Repairs-Other</t>
  </si>
  <si>
    <t>Solution Tree PLC</t>
  </si>
  <si>
    <t>Inservice, Aug. 7-8</t>
  </si>
  <si>
    <t>2016-17 c/o to be expensed in 2017-18</t>
  </si>
  <si>
    <t>Move L. Crawford from  RS 0654</t>
  </si>
  <si>
    <t>Alt. Spprt.</t>
  </si>
  <si>
    <t>Must be expensed
 by Sept. 30, 2017</t>
  </si>
  <si>
    <t>ENDING FUND BALANCE</t>
  </si>
  <si>
    <t>TOTAL REVENUE</t>
  </si>
  <si>
    <t>NET INCRS/DCRS TO FB</t>
  </si>
  <si>
    <t>10% cut, 15% to 18-19</t>
  </si>
  <si>
    <t>Multi-Year Projection Assumptions</t>
  </si>
  <si>
    <t xml:space="preserve"> </t>
  </si>
  <si>
    <t>Local Control Funding Formula</t>
  </si>
  <si>
    <t>COLA</t>
  </si>
  <si>
    <t>Gap Funding %</t>
  </si>
  <si>
    <t>UPP</t>
  </si>
  <si>
    <t>(Unduplicated Pupil Count)</t>
  </si>
  <si>
    <t>Enrollment and ADA (Average Daily Attendance)</t>
  </si>
  <si>
    <t>2013-2014</t>
  </si>
  <si>
    <t>Enrollment</t>
  </si>
  <si>
    <t>Increase / (Decrease)</t>
  </si>
  <si>
    <t>ADA</t>
  </si>
  <si>
    <t>3-Year Average Retention</t>
  </si>
  <si>
    <t>Federal, State, and Local Revenues</t>
  </si>
  <si>
    <t xml:space="preserve">Federal, State, and Local revenues were adjusted for one-time revenues and Federal carryover. </t>
  </si>
  <si>
    <t>Federal</t>
  </si>
  <si>
    <t>State</t>
  </si>
  <si>
    <t>Local</t>
  </si>
  <si>
    <t>Salaries and Benefits</t>
  </si>
  <si>
    <t>The following are employer contribution rates for the projected years:</t>
  </si>
  <si>
    <t>Supplies, Services, Capital Outlay, and Other Outgo</t>
  </si>
  <si>
    <t>One-time expenditures and CPI (consumer price index) were applied in resources, programs, and object categories as applicable.</t>
  </si>
  <si>
    <t>The following interfund transfers are assumed to be ongoing:</t>
  </si>
  <si>
    <t>To Fund 20 - Special Reserve for Postemployment Benefits</t>
  </si>
  <si>
    <t>To Fund 40 - Special Reserve for Equipment Replacement</t>
  </si>
  <si>
    <t>Certificated and classified salaries assumed a 2% step and column increase.</t>
  </si>
  <si>
    <t>No change</t>
  </si>
  <si>
    <t xml:space="preserve">CPI </t>
  </si>
  <si>
    <t>PY cut by 10%</t>
  </si>
  <si>
    <t>15% carryover to 18-19</t>
  </si>
  <si>
    <t>No est. c/o to 19-20</t>
  </si>
  <si>
    <t>PY cut by 5%</t>
  </si>
  <si>
    <t>5% cut</t>
  </si>
  <si>
    <t>SALY</t>
  </si>
  <si>
    <t>Flat</t>
  </si>
  <si>
    <t>15-16 c/o</t>
  </si>
  <si>
    <t>EXPENDITURES</t>
  </si>
  <si>
    <t>Current Year</t>
  </si>
  <si>
    <t>Title II, Part A</t>
  </si>
  <si>
    <t>1312</t>
  </si>
  <si>
    <t>Total SITES</t>
  </si>
  <si>
    <t>Total DO, w/ I/C</t>
  </si>
  <si>
    <t>Title III, LEP</t>
  </si>
  <si>
    <t>Total Allocation</t>
  </si>
  <si>
    <t>Obj 4300-Chromebooks</t>
  </si>
  <si>
    <t>Obj 4400-Carts</t>
  </si>
  <si>
    <t>Obj 4300-Camp materials</t>
  </si>
  <si>
    <t>T. Exp. w/NO Alt.Support</t>
  </si>
  <si>
    <t>Alt. Support Allocation</t>
  </si>
  <si>
    <t>Obj 5727-Transportation</t>
  </si>
  <si>
    <t>Obj 4300-Other supplies</t>
  </si>
  <si>
    <t>Alternative Support Budget - ORGN 2224</t>
  </si>
  <si>
    <t>Obj 1110-Before/After Schl</t>
  </si>
  <si>
    <t>Certificated Salary</t>
  </si>
  <si>
    <t>Amber Wethern</t>
  </si>
  <si>
    <t>Tedde' Vaupel</t>
  </si>
  <si>
    <t>Nancee Davis</t>
  </si>
  <si>
    <t>Scott Ferreira</t>
  </si>
  <si>
    <t xml:space="preserve">Bfor/AftrSchl, Camps </t>
  </si>
  <si>
    <t xml:space="preserve">Para </t>
  </si>
  <si>
    <t>Classified Salary</t>
  </si>
  <si>
    <t>060 - SY</t>
  </si>
  <si>
    <t>070 - WO</t>
  </si>
  <si>
    <t>Mentor Stipends, 5 @ $2000 each</t>
  </si>
  <si>
    <t>1923</t>
  </si>
  <si>
    <t>Mentors</t>
  </si>
  <si>
    <t>S. Drabert, G. Mroczka, V. Shuping, L. Crawford
Counselors: 4 Title I + 7 Base Gen. Fund = 11 Total</t>
  </si>
  <si>
    <t>7 @ 89.5% Rs 3010, 10.5% R4203 - M.Baker, E.Balaam, 
          Y.Hall, H.Gaylor, J. Sanderson, T. Shuford, H.Smith
0.5 - S.Eddington @ 45% Rs 4203, 5% Rs 3010
         S .Eddington 50% R6264, OBJ1312-Inst Admin Specialist</t>
  </si>
  <si>
    <t>1900</t>
  </si>
  <si>
    <t>10% cut</t>
  </si>
  <si>
    <t xml:space="preserve">Classified </t>
  </si>
  <si>
    <t xml:space="preserve">Health insurance premium increases for the budget and projected years for Sutter, Kaiser, Dental and Vision are estimated at </t>
  </si>
  <si>
    <t>15-16 adjusment</t>
  </si>
  <si>
    <t>16-17 Prelim</t>
  </si>
  <si>
    <t>Less 15% c/o 17-18</t>
  </si>
  <si>
    <t>Big Valley Private Schl</t>
  </si>
  <si>
    <t>Per Leslie Sharp, 40% incrs for 17-18</t>
  </si>
  <si>
    <t>PY Adjustment</t>
  </si>
  <si>
    <t>Per ConApp</t>
  </si>
  <si>
    <t>c/o from PY</t>
  </si>
  <si>
    <t>est c/o to next year</t>
  </si>
  <si>
    <t>est c/o from PY</t>
  </si>
  <si>
    <t>est c/o to new year</t>
  </si>
  <si>
    <t>Removed</t>
  </si>
  <si>
    <t>Title III, Immigrant</t>
  </si>
  <si>
    <t xml:space="preserve"> 16-17 c/o</t>
  </si>
  <si>
    <t>Exp. 1XXX-5999</t>
  </si>
  <si>
    <t>I/C</t>
  </si>
  <si>
    <t>16-17 w/ COLA</t>
  </si>
  <si>
    <t>Medi-Cal Billing Option</t>
  </si>
  <si>
    <t>Nurse</t>
  </si>
  <si>
    <t>Sub Support Staff</t>
  </si>
  <si>
    <t>ASES - After School</t>
  </si>
  <si>
    <t>Intervention Tchr</t>
  </si>
  <si>
    <t>After Schl Aide</t>
  </si>
  <si>
    <t>Federal Special Ed</t>
  </si>
  <si>
    <t>Vocational Nurse</t>
  </si>
  <si>
    <t>Other Out Go</t>
  </si>
  <si>
    <t>Adjusted</t>
  </si>
  <si>
    <t>Local Asst Trnsfr</t>
  </si>
  <si>
    <t>State Special Ed</t>
  </si>
  <si>
    <t>SpEd, Private Schl</t>
  </si>
  <si>
    <t>Speech Therapist</t>
  </si>
  <si>
    <t>8097-Property Tax</t>
  </si>
  <si>
    <t>Fees For Service</t>
  </si>
  <si>
    <t>AB 602-ST SpEd Rev</t>
  </si>
  <si>
    <t>Contribution</t>
  </si>
  <si>
    <t>Special Ed Instrcton</t>
  </si>
  <si>
    <t>13XX</t>
  </si>
  <si>
    <t>Mentor</t>
  </si>
  <si>
    <t>21XX</t>
  </si>
  <si>
    <t>22XX</t>
  </si>
  <si>
    <t>24XX</t>
  </si>
  <si>
    <t>Clerical/Office</t>
  </si>
  <si>
    <t>Paras, Subs</t>
  </si>
  <si>
    <t>29XX</t>
  </si>
  <si>
    <t>Other Classified</t>
  </si>
  <si>
    <t>4XXX</t>
  </si>
  <si>
    <t>Special Ed Supplies</t>
  </si>
  <si>
    <t>FFS Sub Agreements</t>
  </si>
  <si>
    <t>SpEd Outside Agnc.</t>
  </si>
  <si>
    <t>Mileage</t>
  </si>
  <si>
    <t>Travel &amp; Conference</t>
  </si>
  <si>
    <t>Rental, Other</t>
  </si>
  <si>
    <t>Repairs, Other</t>
  </si>
  <si>
    <t>Direct Srvc, Food Srvc</t>
  </si>
  <si>
    <t>Legal Expese</t>
  </si>
  <si>
    <t>Interpreter Srvc.</t>
  </si>
  <si>
    <t>Physicals, TB test</t>
  </si>
  <si>
    <t>Outside Transportation</t>
  </si>
  <si>
    <t>Excess Cost-Tuition</t>
  </si>
  <si>
    <t>Transportation</t>
  </si>
  <si>
    <t>Trnsfr, Apportionment</t>
  </si>
  <si>
    <t>Exp. 1XXX-7999</t>
  </si>
  <si>
    <t>Same as last year</t>
  </si>
  <si>
    <t>Transfer to RS 6500</t>
  </si>
  <si>
    <t>Salaries from RS 3310</t>
  </si>
  <si>
    <t>SELPA, Mental Hlth</t>
  </si>
  <si>
    <t>BCBA</t>
  </si>
  <si>
    <t>Prop. 39 CA Clean Energy Jobs Act</t>
  </si>
  <si>
    <t>Completed</t>
  </si>
  <si>
    <t>CEC Loan</t>
  </si>
  <si>
    <t>Other Sources</t>
  </si>
  <si>
    <t>Educator Effectiveness</t>
  </si>
  <si>
    <t>Teacher subs</t>
  </si>
  <si>
    <t>Lottery, I/M</t>
  </si>
  <si>
    <t>Instructional Materials</t>
  </si>
  <si>
    <t>Textbooks &amp; Consumables</t>
  </si>
  <si>
    <t>I/M Schedule</t>
  </si>
  <si>
    <t>2.66% = COLA</t>
  </si>
  <si>
    <t>Rs 0617 - IMRP</t>
  </si>
  <si>
    <t>Beginning Bal.</t>
  </si>
  <si>
    <t>Ongoing Contrb.</t>
  </si>
  <si>
    <t>Other Contrb.</t>
  </si>
  <si>
    <t>Expenditures</t>
  </si>
  <si>
    <t>Ending Fund Bal.</t>
  </si>
  <si>
    <t>Rs 6300 - Lottery, I/M</t>
  </si>
  <si>
    <t>Checks</t>
  </si>
  <si>
    <t>2016-17</t>
  </si>
  <si>
    <t>2017-18</t>
  </si>
  <si>
    <t>2018-19</t>
  </si>
  <si>
    <t>2019-20</t>
  </si>
  <si>
    <t>2020-21</t>
  </si>
  <si>
    <t>2021-22</t>
  </si>
  <si>
    <t>2022-23</t>
  </si>
  <si>
    <t>Ongoing/Annual Expenditures</t>
  </si>
  <si>
    <t>Instructional Materials Adoptions</t>
  </si>
  <si>
    <t>Math</t>
  </si>
  <si>
    <t>English Language Arts/ELD</t>
  </si>
  <si>
    <t>History-Social Sciences</t>
  </si>
  <si>
    <t>Science</t>
  </si>
  <si>
    <t>Health</t>
  </si>
  <si>
    <t>World Language</t>
  </si>
  <si>
    <t>Visual &amp; Performing Arts</t>
  </si>
  <si>
    <t>Physical Ed (Content Standards Only Req)</t>
  </si>
  <si>
    <t>Ongoing/Major Maintenance</t>
  </si>
  <si>
    <t>Contribution -3%</t>
  </si>
  <si>
    <t>Add'l Contribution</t>
  </si>
  <si>
    <t>Maintenance</t>
  </si>
  <si>
    <t>Custodians</t>
  </si>
  <si>
    <t>Extra-time Suppor</t>
  </si>
  <si>
    <t>Superviors/Admin.</t>
  </si>
  <si>
    <t>23XX</t>
  </si>
  <si>
    <t>Materials &amp; Supplies</t>
  </si>
  <si>
    <t>Custodial Suppies</t>
  </si>
  <si>
    <t>Fuel</t>
  </si>
  <si>
    <t>Repair Parts</t>
  </si>
  <si>
    <t>Vehicle Parts</t>
  </si>
  <si>
    <t>Office Supplies</t>
  </si>
  <si>
    <t>Computer Supplies</t>
  </si>
  <si>
    <t>Non-Cap Equipment</t>
  </si>
  <si>
    <t>Disposal Services</t>
  </si>
  <si>
    <t>Electricity</t>
  </si>
  <si>
    <t>Repairs and Rentals</t>
  </si>
  <si>
    <t>Repairs-Equipment</t>
  </si>
  <si>
    <t>Rental-Equipment</t>
  </si>
  <si>
    <t>Repairs-Vehicle</t>
  </si>
  <si>
    <t>Maintenance Agreements</t>
  </si>
  <si>
    <t>Services</t>
  </si>
  <si>
    <t>Architect Fees</t>
  </si>
  <si>
    <t>Cell Phones</t>
  </si>
  <si>
    <t>Postage/Delivery</t>
  </si>
  <si>
    <t>Capital Outlay</t>
  </si>
  <si>
    <t>New Equip. over $5k</t>
  </si>
  <si>
    <t>Equipment Replacement</t>
  </si>
  <si>
    <t>3% of total exp. &amp; TFs out</t>
  </si>
  <si>
    <t>TUPE</t>
  </si>
  <si>
    <t>Obj. 8677-Interagency</t>
  </si>
  <si>
    <t>Facilities Improvement</t>
  </si>
  <si>
    <t>Hazardous Waste Removal</t>
  </si>
  <si>
    <t>DSA Plan Check Fees</t>
  </si>
  <si>
    <t>Permanent Construction</t>
  </si>
  <si>
    <t>Other Costs-Construction</t>
  </si>
  <si>
    <t>Labor Compliance Prgm.</t>
  </si>
  <si>
    <t>Construction Testing</t>
  </si>
  <si>
    <t>Inspection</t>
  </si>
  <si>
    <t>6XXX</t>
  </si>
  <si>
    <t xml:space="preserve">UNRESTRICTED </t>
  </si>
  <si>
    <t>REVENUES</t>
  </si>
  <si>
    <t>Local Control Funding Formula - LCFF</t>
  </si>
  <si>
    <t>Federal Revenues</t>
  </si>
  <si>
    <t>Other State Revenues</t>
  </si>
  <si>
    <t>One-Time  Mandate Reimbursement</t>
  </si>
  <si>
    <t>Other Local Revenues</t>
  </si>
  <si>
    <t>Total Revenues</t>
  </si>
  <si>
    <t>EXPENSES</t>
  </si>
  <si>
    <t>Certificated Salaries</t>
  </si>
  <si>
    <t xml:space="preserve">Classified Salaries </t>
  </si>
  <si>
    <t>Employee Benefits</t>
  </si>
  <si>
    <t>5XXX</t>
  </si>
  <si>
    <t>Other Supplies &amp; Materials</t>
  </si>
  <si>
    <t xml:space="preserve">Services &amp; Other Operating Expenditures   </t>
  </si>
  <si>
    <t xml:space="preserve">Other Outgo </t>
  </si>
  <si>
    <t xml:space="preserve">Direct Support/Indirect Costs    </t>
  </si>
  <si>
    <t>Total Expenses</t>
  </si>
  <si>
    <t>Interfund Transfers Out</t>
  </si>
  <si>
    <t>Interfund Transfers In</t>
  </si>
  <si>
    <t>Other Uses</t>
  </si>
  <si>
    <t>Contributions</t>
  </si>
  <si>
    <t>Total Other Financing Sources &amp; Uses</t>
  </si>
  <si>
    <t>NET INCREASE/(DECREASE) IN FUND BALANCE</t>
  </si>
  <si>
    <t>GENERAL FUND - COMPONENTS OF ENDING FUND BALANCE</t>
  </si>
  <si>
    <t>Nonspendable: Revolving Cash</t>
  </si>
  <si>
    <t>Restricted</t>
  </si>
  <si>
    <t>Committed</t>
  </si>
  <si>
    <t>Assigned</t>
  </si>
  <si>
    <t>Insurance Deductibles</t>
  </si>
  <si>
    <t>Professional Learning</t>
  </si>
  <si>
    <t>Unassigned/Unappropriated</t>
  </si>
  <si>
    <t>Reserve for Economic Uncertainties (REU)</t>
  </si>
  <si>
    <t>Unassigned/Unappropriated Amount</t>
  </si>
  <si>
    <t>TOTAL COMPONENTS OF ENDING FUND BALANCE</t>
  </si>
  <si>
    <t>RESTRICTED</t>
  </si>
  <si>
    <t>Federal Carryover</t>
  </si>
  <si>
    <t>Prop. 39, CA Clean Energy Jobs Act</t>
  </si>
  <si>
    <r>
      <t xml:space="preserve">Services &amp; Other Operating Expenditures   </t>
    </r>
    <r>
      <rPr>
        <sz val="14"/>
        <color indexed="10"/>
        <rFont val="Cambria"/>
        <family val="1"/>
        <scheme val="major"/>
      </rPr>
      <t xml:space="preserve"> </t>
    </r>
  </si>
  <si>
    <r>
      <t xml:space="preserve">Other Outgo  </t>
    </r>
    <r>
      <rPr>
        <sz val="14"/>
        <color indexed="10"/>
        <rFont val="Cambria"/>
        <family val="1"/>
        <scheme val="major"/>
      </rPr>
      <t xml:space="preserve"> </t>
    </r>
  </si>
  <si>
    <t xml:space="preserve">Direct Support/Indirect Costs </t>
  </si>
  <si>
    <t>BEGINNING FUND BALANCE</t>
  </si>
  <si>
    <t>COMPONENTS OF ENDING FUND BALANCE</t>
  </si>
  <si>
    <t>Total Components of Ending Fund Balance</t>
  </si>
  <si>
    <t>COMBINED</t>
  </si>
  <si>
    <t>One-Time State Revenues</t>
  </si>
  <si>
    <t>One-Time Local Revenues</t>
  </si>
  <si>
    <t xml:space="preserve">Other Outgo  </t>
  </si>
  <si>
    <t xml:space="preserve">Direct Support/Indirect Costs   </t>
  </si>
  <si>
    <r>
      <t xml:space="preserve">Interfund Transfers Out </t>
    </r>
    <r>
      <rPr>
        <sz val="14"/>
        <color indexed="12"/>
        <rFont val="Cambria"/>
        <family val="1"/>
        <scheme val="major"/>
      </rPr>
      <t xml:space="preserve"> </t>
    </r>
  </si>
  <si>
    <t>Special Education (RS 6500)</t>
  </si>
  <si>
    <t>Ongoing &amp; Major Maintenance (RS 8150)</t>
  </si>
  <si>
    <t>Facilities Improvement (RS 9225)</t>
  </si>
  <si>
    <t>Social Security</t>
  </si>
  <si>
    <t>2015-2016</t>
  </si>
  <si>
    <t>Contributions To Restricted Programs:</t>
  </si>
  <si>
    <t>LCFF Supp/Conc</t>
  </si>
  <si>
    <t>LCFF</t>
  </si>
  <si>
    <t>Teachers' Salaries</t>
  </si>
  <si>
    <t>Art Teachers</t>
  </si>
  <si>
    <t>Music  Teachers</t>
  </si>
  <si>
    <t>Advisor Stipends</t>
  </si>
  <si>
    <t>Substitute Teachers</t>
  </si>
  <si>
    <t>Asst. Principal</t>
  </si>
  <si>
    <t>Directors</t>
  </si>
  <si>
    <t>2023-2024</t>
  </si>
  <si>
    <t>Paraprofessionals</t>
  </si>
  <si>
    <t>Classified Pupil Support</t>
  </si>
  <si>
    <t>Clerical, Office, Technician</t>
  </si>
  <si>
    <t xml:space="preserve">From Title III, LEP </t>
  </si>
  <si>
    <t>Music Equipment</t>
  </si>
  <si>
    <t>Music Supplies</t>
  </si>
  <si>
    <t>43XX</t>
  </si>
  <si>
    <t>Travel &amp; Conference, Mileage</t>
  </si>
  <si>
    <t>6th Grade Outdoor Ed</t>
  </si>
  <si>
    <t>52XX</t>
  </si>
  <si>
    <t>560X</t>
  </si>
  <si>
    <t>Rental/ /Repairs-Equipment</t>
  </si>
  <si>
    <t>Field Trip Transportation</t>
  </si>
  <si>
    <t>Direct Service-Food Service</t>
  </si>
  <si>
    <t>Physicals, TB Test</t>
  </si>
  <si>
    <t>Local Revenues</t>
  </si>
  <si>
    <t>Supervisors/Admin.</t>
  </si>
  <si>
    <t>Non-Instructional Materials</t>
  </si>
  <si>
    <t>Oil</t>
  </si>
  <si>
    <t>Tires</t>
  </si>
  <si>
    <t>Fuel-Transportation</t>
  </si>
  <si>
    <t>Non-Capital Equipmetn</t>
  </si>
  <si>
    <t>Travel/Conf, Membership</t>
  </si>
  <si>
    <t>Insurance</t>
  </si>
  <si>
    <t>Maintenance Agreement</t>
  </si>
  <si>
    <t>Transportation-Childcare</t>
  </si>
  <si>
    <t>Drug &amp; Alcohol Test</t>
  </si>
  <si>
    <t>Lottery, Unrestricted</t>
  </si>
  <si>
    <t>State Lottery</t>
  </si>
  <si>
    <t>Rental-Other</t>
  </si>
  <si>
    <t>Repair-Equipment</t>
  </si>
  <si>
    <t>Warehouse Services</t>
  </si>
  <si>
    <t>Postage/Delivery Service</t>
  </si>
  <si>
    <t>Instrctnl. Materials &amp; Supplies</t>
  </si>
  <si>
    <t>Substitute Teacher</t>
  </si>
  <si>
    <t>80XX</t>
  </si>
  <si>
    <t>MAA (Federal)</t>
  </si>
  <si>
    <t>Mandate Block Grant</t>
  </si>
  <si>
    <t>One-Time Mandate Funding</t>
  </si>
  <si>
    <t>Other State Revenue</t>
  </si>
  <si>
    <t>86XX</t>
  </si>
  <si>
    <t>Leases and Rents</t>
  </si>
  <si>
    <t>Interest Revenue</t>
  </si>
  <si>
    <t>Interagency Revenue</t>
  </si>
  <si>
    <t>8980</t>
  </si>
  <si>
    <t>8986</t>
  </si>
  <si>
    <t>8987</t>
  </si>
  <si>
    <t>Contribution to Special Education - RS 6500</t>
  </si>
  <si>
    <t>Contribution to Ongoing &amp; Major Maintenance - RS 8150</t>
  </si>
  <si>
    <t>Contribution to Facilities Improvement - RS9225</t>
  </si>
  <si>
    <t>8699</t>
  </si>
  <si>
    <t>E-Rate Refunds and Reimbursements</t>
  </si>
  <si>
    <t>Grants: Sylvan Foundation, 6th Grade Camp</t>
  </si>
  <si>
    <t>MID Energy Audit and Projects Refund</t>
  </si>
  <si>
    <t>Workers' Comp. Refund</t>
  </si>
  <si>
    <t>Other Various Receipts, Donations, Rebates, Refunds</t>
  </si>
  <si>
    <t xml:space="preserve"> = $214.55 X 7,865.44 ADA</t>
  </si>
  <si>
    <t xml:space="preserve"> = $28.42 X 7,865.44 ADA</t>
  </si>
  <si>
    <t>Contribution-GF</t>
  </si>
  <si>
    <t>Per SELPA</t>
  </si>
  <si>
    <t>2016-17 Award</t>
  </si>
  <si>
    <t>Estimated 2017-18 Award</t>
  </si>
  <si>
    <t>CEC loan</t>
  </si>
  <si>
    <t>From general fund</t>
  </si>
  <si>
    <t>Ongoing from general fund</t>
  </si>
  <si>
    <t>LCFF - Supplemental</t>
  </si>
  <si>
    <t>1118</t>
  </si>
  <si>
    <t>1201</t>
  </si>
  <si>
    <t>1203</t>
  </si>
  <si>
    <t>1206</t>
  </si>
  <si>
    <t>Librarian</t>
  </si>
  <si>
    <t>By Function</t>
  </si>
  <si>
    <t>37XX</t>
  </si>
  <si>
    <t>Retirees</t>
  </si>
  <si>
    <t>5450</t>
  </si>
  <si>
    <t>5501</t>
  </si>
  <si>
    <t>5504</t>
  </si>
  <si>
    <t>5508</t>
  </si>
  <si>
    <t>5509</t>
  </si>
  <si>
    <t>Utilities: Water, Sewer</t>
  </si>
  <si>
    <t xml:space="preserve">Utilities: Disposal Service </t>
  </si>
  <si>
    <t>Utilities: Electricity</t>
  </si>
  <si>
    <t>Utilities: Gas</t>
  </si>
  <si>
    <t>Utilities: Cell Phones</t>
  </si>
  <si>
    <t>Utilities: Telephones</t>
  </si>
  <si>
    <t>Utilities: Internet Service</t>
  </si>
  <si>
    <t>5902</t>
  </si>
  <si>
    <t>5904</t>
  </si>
  <si>
    <t>5907</t>
  </si>
  <si>
    <t>5601</t>
  </si>
  <si>
    <t>5604</t>
  </si>
  <si>
    <t>5719</t>
  </si>
  <si>
    <t>5753</t>
  </si>
  <si>
    <t>5756</t>
  </si>
  <si>
    <t>5802</t>
  </si>
  <si>
    <t>5804</t>
  </si>
  <si>
    <t>5805</t>
  </si>
  <si>
    <t>5810</t>
  </si>
  <si>
    <t>5818</t>
  </si>
  <si>
    <t>5836</t>
  </si>
  <si>
    <t>5839</t>
  </si>
  <si>
    <t>5860</t>
  </si>
  <si>
    <t>5861</t>
  </si>
  <si>
    <t>5862</t>
  </si>
  <si>
    <t>5863</t>
  </si>
  <si>
    <t>5866</t>
  </si>
  <si>
    <t xml:space="preserve">Warehouse Services </t>
  </si>
  <si>
    <t>Interfund Service</t>
  </si>
  <si>
    <t>Interfund Service-Business</t>
  </si>
  <si>
    <t>Advertisement</t>
  </si>
  <si>
    <t>Legal Expense</t>
  </si>
  <si>
    <t>Audit Expense</t>
  </si>
  <si>
    <t>Interpreter Services</t>
  </si>
  <si>
    <t>Taxes</t>
  </si>
  <si>
    <t>SARB</t>
  </si>
  <si>
    <t xml:space="preserve">Claims Paid </t>
  </si>
  <si>
    <t>SCOE: Audio/visual Services</t>
  </si>
  <si>
    <t>SCOE: Audiology Services</t>
  </si>
  <si>
    <t>SCOE: Internet Services</t>
  </si>
  <si>
    <t>SCOE: Information Services</t>
  </si>
  <si>
    <t>SCOE: Mail and Delivery Services</t>
  </si>
  <si>
    <t>Other Outgo</t>
  </si>
  <si>
    <t>7130</t>
  </si>
  <si>
    <t>Federal Revenues (MAA)</t>
  </si>
  <si>
    <t>7142</t>
  </si>
  <si>
    <t>7310</t>
  </si>
  <si>
    <t>7350</t>
  </si>
  <si>
    <t>7612</t>
  </si>
  <si>
    <t>Special State Schools</t>
  </si>
  <si>
    <t>LCFF COE Transfer</t>
  </si>
  <si>
    <t>Categorical I/C</t>
  </si>
  <si>
    <t>Food Service I/C</t>
  </si>
  <si>
    <t>Transfers To FD 20-OPEB</t>
  </si>
  <si>
    <t>Transfers To FD 40-Equipment Replacement</t>
  </si>
  <si>
    <t xml:space="preserve">Transfers To FD 40-Buses </t>
  </si>
  <si>
    <t>Certificated</t>
  </si>
  <si>
    <t>Est. S&amp;C Incrs.</t>
  </si>
  <si>
    <t>2023-24</t>
  </si>
  <si>
    <t>Salary</t>
  </si>
  <si>
    <t>Step Incrs.</t>
  </si>
  <si>
    <t>STRS Rates %</t>
  </si>
  <si>
    <t>STRS Cost $</t>
  </si>
  <si>
    <t>Yr. over Yr. Increase</t>
  </si>
  <si>
    <t>%</t>
  </si>
  <si>
    <t>$</t>
  </si>
  <si>
    <t>Cumulative</t>
  </si>
  <si>
    <t>Est. Step Incrs.</t>
  </si>
  <si>
    <t>PERS Rates %</t>
  </si>
  <si>
    <t>PERS Cost $</t>
  </si>
  <si>
    <t>7 years</t>
  </si>
  <si>
    <t>Increase</t>
  </si>
  <si>
    <t>TOTAL INCREASE</t>
  </si>
  <si>
    <t>Make graph for 2nd interim presentation</t>
  </si>
  <si>
    <t>Check</t>
  </si>
  <si>
    <t>Per MYP tab</t>
  </si>
  <si>
    <t>Total Revenues and Other Sources</t>
  </si>
  <si>
    <t>8600 - 7999</t>
  </si>
  <si>
    <t>8300 - 8599</t>
  </si>
  <si>
    <t>State Revenues</t>
  </si>
  <si>
    <t>8100 - 8299</t>
  </si>
  <si>
    <t>8010-8099</t>
  </si>
  <si>
    <t>Combined - Unrestricted and Restricted</t>
  </si>
  <si>
    <t>Object Codes</t>
  </si>
  <si>
    <t xml:space="preserve">Unrestricted </t>
  </si>
  <si>
    <t>8011</t>
  </si>
  <si>
    <t>0000</t>
  </si>
  <si>
    <t>Return of unused site fnds</t>
  </si>
  <si>
    <t>Prior year UPP correction</t>
  </si>
  <si>
    <t>LCFF - Adjustments to LCFF</t>
  </si>
  <si>
    <t>9221</t>
  </si>
  <si>
    <t>MS Voucher</t>
  </si>
  <si>
    <t>Donations</t>
  </si>
  <si>
    <t>Grant 6th Grade Camp</t>
  </si>
  <si>
    <t>Mini-grants</t>
  </si>
  <si>
    <t>Sylvan Foundation Grant</t>
  </si>
  <si>
    <t>Workers Comp Refund (one-time)</t>
  </si>
  <si>
    <t xml:space="preserve">Miscellaneous revenue </t>
  </si>
  <si>
    <t>Union Days (reimb subs)</t>
  </si>
  <si>
    <t xml:space="preserve">SIFA Reimbursement </t>
  </si>
  <si>
    <r>
      <t xml:space="preserve">Reimb from Student Body </t>
    </r>
    <r>
      <rPr>
        <sz val="9"/>
        <rFont val="Arial Narrow"/>
        <family val="2"/>
      </rPr>
      <t>(coaches, bookkeeper)</t>
    </r>
  </si>
  <si>
    <t>0655</t>
  </si>
  <si>
    <t>Transportation Field Trips (0655)</t>
  </si>
  <si>
    <t>8689</t>
  </si>
  <si>
    <t>Book Fees</t>
  </si>
  <si>
    <t>Headstart contract</t>
  </si>
  <si>
    <t>8677</t>
  </si>
  <si>
    <t>Charter School Administrative Fees</t>
  </si>
  <si>
    <t>8650</t>
  </si>
  <si>
    <t>Facility rent</t>
  </si>
  <si>
    <t>8631</t>
  </si>
  <si>
    <t>Sale of equipment and supplies</t>
  </si>
  <si>
    <t>8660</t>
  </si>
  <si>
    <t>Interest</t>
  </si>
  <si>
    <t>Local Revenue-0000</t>
  </si>
  <si>
    <t>SELPA formulas</t>
  </si>
  <si>
    <t>8792</t>
  </si>
  <si>
    <t>6500</t>
  </si>
  <si>
    <t>Special Education, COE Apportionment TF</t>
  </si>
  <si>
    <t>Numbers provided by SELPA</t>
  </si>
  <si>
    <t>Special Education, Fee for Service (Local)</t>
  </si>
  <si>
    <t>8590</t>
  </si>
  <si>
    <t>6512</t>
  </si>
  <si>
    <t xml:space="preserve">Special Education, State </t>
  </si>
  <si>
    <t>Provided by SELPA</t>
  </si>
  <si>
    <t>8097</t>
  </si>
  <si>
    <t>Special Education County Taxes</t>
  </si>
  <si>
    <t>JPA with SCOE</t>
  </si>
  <si>
    <t>9096</t>
  </si>
  <si>
    <t>TUPE (consortium)</t>
  </si>
  <si>
    <t>8979</t>
  </si>
  <si>
    <t>7810</t>
  </si>
  <si>
    <t xml:space="preserve">CDE website  </t>
  </si>
  <si>
    <t>6230</t>
  </si>
  <si>
    <t>Clean Energy Jobs</t>
  </si>
  <si>
    <t>2015-16 State Budget (one-time)($1450/Cert FTE)</t>
  </si>
  <si>
    <t>6264</t>
  </si>
  <si>
    <t>Grant entitlement</t>
  </si>
  <si>
    <t>6010</t>
  </si>
  <si>
    <t>After School Education and Safety</t>
  </si>
  <si>
    <t>8560</t>
  </si>
  <si>
    <t>6300</t>
  </si>
  <si>
    <t>Lottery - Instr. Materials, Restricted - prior year</t>
  </si>
  <si>
    <t>SSC estimates</t>
  </si>
  <si>
    <t>Lottery - Instr. Materials, Restricted - current year</t>
  </si>
  <si>
    <t>1100</t>
  </si>
  <si>
    <t>Lottery, Unrestricted - prior year</t>
  </si>
  <si>
    <t>Lottery, Unrestricted - current year</t>
  </si>
  <si>
    <t>0049</t>
  </si>
  <si>
    <t>CELDT</t>
  </si>
  <si>
    <t>STAR</t>
  </si>
  <si>
    <t>Student Identifier</t>
  </si>
  <si>
    <t xml:space="preserve"> 2015-16, 2016-17 ($214/ADA) </t>
  </si>
  <si>
    <t>8550</t>
  </si>
  <si>
    <t>Mandated Cost One-time</t>
  </si>
  <si>
    <t>http://www.cde.ca.gov/fg/aa/ca/</t>
  </si>
  <si>
    <t>Mandated Cost Block Grant</t>
  </si>
  <si>
    <t>State Programs</t>
  </si>
  <si>
    <t>Expenditures(invoiced to SCOE)</t>
  </si>
  <si>
    <t>Medi-cal Reimburement</t>
  </si>
  <si>
    <t>Final carryover</t>
  </si>
  <si>
    <t>Title III, LEP - prior year carryover</t>
  </si>
  <si>
    <t>Title III, LEP - current year</t>
  </si>
  <si>
    <t xml:space="preserve">Title III, Immigrant Ed - prior year carryover </t>
  </si>
  <si>
    <t xml:space="preserve">http://www.cde.ca.gov/fg/aa/ca/ </t>
  </si>
  <si>
    <t>Title III, Immigrant Ed - current year</t>
  </si>
  <si>
    <t>Title II, Principal Training</t>
  </si>
  <si>
    <t>Final 2015-16 adjustment</t>
  </si>
  <si>
    <t>Title II - prior year carryover</t>
  </si>
  <si>
    <t>Title II - current year</t>
  </si>
  <si>
    <t>IDEA, Special Education</t>
  </si>
  <si>
    <t>3310/1</t>
  </si>
  <si>
    <t xml:space="preserve">Title I PI </t>
  </si>
  <si>
    <t>Title I - prior year carryover</t>
  </si>
  <si>
    <t>Title I - current year</t>
  </si>
  <si>
    <t xml:space="preserve"> PrYr claim report</t>
  </si>
  <si>
    <t>0032</t>
  </si>
  <si>
    <t>MAA(Medi-cal Admin)</t>
  </si>
  <si>
    <t xml:space="preserve">Federal Programs </t>
  </si>
  <si>
    <t>Formula</t>
  </si>
  <si>
    <t>2015-16</t>
  </si>
  <si>
    <t>OBJ</t>
  </si>
  <si>
    <t>RS #</t>
  </si>
  <si>
    <t>Other Revenues</t>
  </si>
  <si>
    <t>8181</t>
  </si>
  <si>
    <t>8287</t>
  </si>
  <si>
    <t>I/M Schedule, expenses</t>
  </si>
  <si>
    <t>in RS 0617-I/M</t>
  </si>
  <si>
    <t>Program ended</t>
  </si>
  <si>
    <t>Unrestricted GF &amp; Education Protection Act</t>
  </si>
  <si>
    <t>Boys and Girls Club</t>
  </si>
  <si>
    <t>Printing Services for Adopted Textbook Consumables</t>
  </si>
  <si>
    <t>89XX</t>
  </si>
  <si>
    <t>Contribution to IMFRP, Instructional Materials - RS 0617</t>
  </si>
  <si>
    <t>One-Time Wrks. Comp. &amp; Energy Audit/Proj. Reimb.</t>
  </si>
  <si>
    <r>
      <t xml:space="preserve">State Adopted Textbooks &amp; Instructional Materials
</t>
    </r>
    <r>
      <rPr>
        <sz val="12"/>
        <color rgb="FFC00000"/>
        <rFont val="Cambria"/>
        <family val="1"/>
        <scheme val="major"/>
      </rPr>
      <t>(Partially funded w/ Restricted funds)</t>
    </r>
  </si>
  <si>
    <t>Rate Yr. Over Yr. Increase</t>
  </si>
  <si>
    <t>Cost Yr. Over Yr. Increase</t>
  </si>
  <si>
    <t>Cafeteria Fund</t>
  </si>
  <si>
    <t>2017-2018</t>
  </si>
  <si>
    <t>2018-2019</t>
  </si>
  <si>
    <t>Actual</t>
  </si>
  <si>
    <t>Estimate</t>
  </si>
  <si>
    <t>BEGINNING BALANCE</t>
  </si>
  <si>
    <t>Total Revenue</t>
  </si>
  <si>
    <t>Total Expenditures</t>
  </si>
  <si>
    <t>Net Balance increase/(decrease)</t>
  </si>
  <si>
    <t>ENDING BALANCE</t>
  </si>
  <si>
    <t>Deferred Maintenance Fund</t>
  </si>
  <si>
    <t>Special Reserve - Other Post Employment Benefits</t>
  </si>
  <si>
    <t>Building Fund - Bond Money</t>
  </si>
  <si>
    <t>Local Revenue</t>
  </si>
  <si>
    <t>Capital Facilities Fund - Developer Fees</t>
  </si>
  <si>
    <t>Special Reserve - Capital Outlay</t>
  </si>
  <si>
    <t>Special Reserve - Capital Projects</t>
  </si>
  <si>
    <t>Childcare Fund</t>
  </si>
  <si>
    <t>Self-Insured Dental Fund</t>
  </si>
  <si>
    <t>Analysis of STRS and PERS Increased Employer Rates</t>
  </si>
  <si>
    <t>Total increased cost for the next 3 years</t>
  </si>
  <si>
    <t>Contributions to Restricted Programs:</t>
  </si>
  <si>
    <r>
      <t xml:space="preserve">State Adopted Textbooks &amp; Instructional Materials
</t>
    </r>
    <r>
      <rPr>
        <sz val="12"/>
        <color rgb="FFC00000"/>
        <rFont val="Cambria"/>
        <family val="1"/>
        <scheme val="major"/>
      </rPr>
      <t>(Partially funded w/ Unrestricted funds)</t>
    </r>
  </si>
  <si>
    <t>State Adopted Textbooks &amp; Instructional Materials</t>
  </si>
  <si>
    <t>Federal, State, and Local revenues were adjusted for COLA with the following percentages:</t>
  </si>
  <si>
    <t>4201</t>
  </si>
  <si>
    <t>3311</t>
  </si>
  <si>
    <t>Teacher in Charge</t>
  </si>
  <si>
    <t>Teacher on Special Assignent</t>
  </si>
  <si>
    <t>Teacher on Special Assignment</t>
  </si>
  <si>
    <t>Induction w/ SCOE</t>
  </si>
  <si>
    <t>Shawn Timmons w/ SCOE</t>
  </si>
  <si>
    <t>Total to be expensed</t>
  </si>
  <si>
    <t>Reduced to est exps to date</t>
  </si>
  <si>
    <t>S. Eddington, from Rs 4035 Hess/Bosio</t>
  </si>
  <si>
    <t>Bosio and Hess</t>
  </si>
  <si>
    <t>Local Control Funding Formula (LCFF)</t>
  </si>
  <si>
    <t>OTHER FINANCING SOURCES</t>
  </si>
  <si>
    <t xml:space="preserve">Total Other Financing Sources </t>
  </si>
  <si>
    <t>TOTAL REVENUES and OTHER FINANCING SOURCES</t>
  </si>
  <si>
    <t>OTHER FINANCING USES</t>
  </si>
  <si>
    <t>TOTAL EXPENSES and OTHER USES</t>
  </si>
  <si>
    <t>Total Other Financing Uses</t>
  </si>
  <si>
    <t>TOTAL EXPENSES and OTHER FINANCING USES</t>
  </si>
  <si>
    <t>LCFF Supp/Conc - Freedom</t>
  </si>
  <si>
    <t>BUDGET</t>
  </si>
  <si>
    <t>School Sites</t>
  </si>
  <si>
    <t>Expense Budget Breakdown</t>
  </si>
  <si>
    <t>Balance Available</t>
  </si>
  <si>
    <t>Average monthly payroll</t>
  </si>
  <si>
    <t>$6.5 million</t>
  </si>
  <si>
    <t>Average monthly operating expenditures</t>
  </si>
  <si>
    <t>Based on August 2016 - February 2017 actual payroll</t>
  </si>
  <si>
    <t>Based on August 2016 - February 2017 actual expenses</t>
  </si>
  <si>
    <t>TOTAL GENERAL FUND - UNRESTRICTED and COMBINED</t>
  </si>
  <si>
    <t>S. Eddington Only</t>
  </si>
  <si>
    <t>$15.6 million</t>
  </si>
  <si>
    <t>At least 3 months of payroll</t>
  </si>
  <si>
    <t>At least 2 months of operating expenditures</t>
  </si>
  <si>
    <t>Rule of thumb for reserve:</t>
  </si>
  <si>
    <t>Recommend $15.6 million or 3 months of payroll for reserve since the District's budget is predominantly salaries and benefits.</t>
  </si>
  <si>
    <t>$5.2 million</t>
  </si>
  <si>
    <t>Inst. Coaches  to RS 3010</t>
  </si>
  <si>
    <t xml:space="preserve">Fully expense </t>
  </si>
  <si>
    <t>for Inst. Coaches</t>
  </si>
  <si>
    <t>from RS 3010</t>
  </si>
  <si>
    <t>Inst. Coaches to Rs 4203 to fully expense RS 4203</t>
  </si>
  <si>
    <t>Rosetta Stone</t>
  </si>
  <si>
    <t>Induction w/SCOE</t>
  </si>
  <si>
    <t>Formula --&gt; Total expenses and encumb. X 3.7% I/C rte</t>
  </si>
  <si>
    <t>Review S&amp;B w/ MR, LG if ok to sweep?</t>
  </si>
  <si>
    <t>Benefits - ok to sweep?</t>
  </si>
  <si>
    <t>Certificated - ok to sweep?</t>
  </si>
  <si>
    <t>Classified - ok to sweep?</t>
  </si>
  <si>
    <t>Sweep back to DO</t>
  </si>
  <si>
    <t>supplies</t>
  </si>
  <si>
    <t xml:space="preserve">Includes Alternative </t>
  </si>
  <si>
    <t>Support, see below for</t>
  </si>
  <si>
    <t>Altn. Spprt. Balance</t>
  </si>
  <si>
    <t>Chromebooks</t>
  </si>
  <si>
    <t>Certificated, not Alt. Spprt. - ok to sweep?</t>
  </si>
  <si>
    <t>Alternative Support S&amp;B</t>
  </si>
  <si>
    <t>T&amp;C, Outside/Other Srvc</t>
  </si>
  <si>
    <t xml:space="preserve">Alternative Support S&amp;B - MAX or use </t>
  </si>
  <si>
    <t>regular S&amp;B</t>
  </si>
  <si>
    <t>Have to use salaries to cover overage</t>
  </si>
  <si>
    <t>Apply for negotiated increase</t>
  </si>
  <si>
    <t>Hourly rate changed $34.54, 2% negotiated</t>
  </si>
  <si>
    <t>Need to see who, most likely $34.54 rate</t>
  </si>
  <si>
    <t>Supplemental Tchr./Extra Duty/Training</t>
  </si>
  <si>
    <t>Alt. Support Balance to Expense for S&amp;B</t>
  </si>
  <si>
    <t>Alt. Spport certificated salaries</t>
  </si>
  <si>
    <t>Alt. Spport certificated benefits</t>
  </si>
  <si>
    <t>Classified, ignored negative encumbrance - ok to sweep?</t>
  </si>
  <si>
    <t xml:space="preserve">Alternative Support S&amp;B </t>
  </si>
  <si>
    <t>Alternative Support Supplies &amp; Field Trip Transp.</t>
  </si>
  <si>
    <t>T&amp;C, field trip tranp., outside/other srvc., direct FS, postage</t>
  </si>
  <si>
    <t>Alt. Support Bal.to Expense for S&amp;B, supplies, field trip transp.</t>
  </si>
  <si>
    <t>Ignored negative encumbrances, was 1-X correction in March</t>
  </si>
  <si>
    <t>2016-2017 c/o to be expensed in 2017-18 and/or trying to expese by June 30, 2017</t>
  </si>
  <si>
    <t>Benefits, not Alt. Support - ok to sweep?</t>
  </si>
  <si>
    <t>T&amp;C, field trip tranp., outside/other srvc., postage</t>
  </si>
  <si>
    <t>Solution Tree and Certificated Salaries</t>
  </si>
  <si>
    <t>2 days inservice and Classified Salaries</t>
  </si>
  <si>
    <t>I/C and benefits</t>
  </si>
  <si>
    <t>ok to sweep - YES</t>
  </si>
  <si>
    <t>Do not sweep, use for STEAM Lab</t>
  </si>
  <si>
    <t>Est. Beginning Bal.</t>
  </si>
  <si>
    <t>Teacher Subs</t>
  </si>
  <si>
    <t xml:space="preserve">est. 45 particiapants, per </t>
  </si>
  <si>
    <t>4/4/2017 Budget Study Session</t>
  </si>
  <si>
    <t>Should be enough in Title</t>
  </si>
  <si>
    <t>II to cover Hess and Bosio</t>
  </si>
  <si>
    <t>Est. Available for Granger</t>
  </si>
  <si>
    <t>Current Year - 2017-18</t>
  </si>
  <si>
    <t>4.44%</t>
  </si>
  <si>
    <t xml:space="preserve"> = $45 X 7,760.61 16-17 P-2</t>
  </si>
  <si>
    <t>Textbooks</t>
  </si>
  <si>
    <t>16-17 C/O to 2017-18 FY</t>
  </si>
  <si>
    <t xml:space="preserve">2015-16 c/o </t>
  </si>
  <si>
    <t>CY 15% c/o to next year</t>
  </si>
  <si>
    <t>Carryover for Solution Tree</t>
  </si>
  <si>
    <t xml:space="preserve"> = 10% cut</t>
  </si>
  <si>
    <t>Para sub</t>
  </si>
  <si>
    <t>est. c/o to 18-19</t>
  </si>
  <si>
    <t>c/o from 2016-17 FY</t>
  </si>
  <si>
    <t xml:space="preserve"> to cover Hess and Bosio</t>
  </si>
  <si>
    <t>Assuming Title II has enough</t>
  </si>
  <si>
    <t>Not budgeted, est. arrival in 2 FY</t>
  </si>
  <si>
    <t>1101</t>
  </si>
  <si>
    <t>1103</t>
  </si>
  <si>
    <t>1105</t>
  </si>
  <si>
    <t>1122</t>
  </si>
  <si>
    <t>1185</t>
  </si>
  <si>
    <t>1273</t>
  </si>
  <si>
    <t>1281</t>
  </si>
  <si>
    <t>1301</t>
  </si>
  <si>
    <t>1302</t>
  </si>
  <si>
    <t>1303</t>
  </si>
  <si>
    <t>1304</t>
  </si>
  <si>
    <t>1306</t>
  </si>
  <si>
    <t>1381</t>
  </si>
  <si>
    <t>00XX and  1400</t>
  </si>
  <si>
    <t>Teachers Salarries</t>
  </si>
  <si>
    <t>Music Teachers</t>
  </si>
  <si>
    <t>Extra Duty/Hourly/Training</t>
  </si>
  <si>
    <t>Home and Hopital Teacher</t>
  </si>
  <si>
    <t>Substitute Teachers, Long Term</t>
  </si>
  <si>
    <t>Psychologist</t>
  </si>
  <si>
    <t>Instructional Supplort Extra Time</t>
  </si>
  <si>
    <t>Support Staff Substitute</t>
  </si>
  <si>
    <t>Superintendent</t>
  </si>
  <si>
    <t>Assistant Superintendent</t>
  </si>
  <si>
    <t>Principals</t>
  </si>
  <si>
    <t>Assistant Principals</t>
  </si>
  <si>
    <t>Department Chair Stipends</t>
  </si>
  <si>
    <t>Substitute Administrator</t>
  </si>
  <si>
    <t>Teacher Mentor Stipends</t>
  </si>
  <si>
    <t>Safety/Renaissance</t>
  </si>
  <si>
    <t>Health Clerks, Vocational Nurses, &amp; Subs</t>
  </si>
  <si>
    <t>Warehouse, Grounds, &amp; Subs</t>
  </si>
  <si>
    <t>Custodians, Extra Time, &amp; Subs</t>
  </si>
  <si>
    <t>District Office Admin.</t>
  </si>
  <si>
    <t>School Office Staff, Extra Time, &amp; Subs</t>
  </si>
  <si>
    <t>District Office Staff</t>
  </si>
  <si>
    <t xml:space="preserve">Yard Duty &amp; Campus Supervisors </t>
  </si>
  <si>
    <t>After School Sports Stipends</t>
  </si>
  <si>
    <t>Other Classified Duties &amp; Subs</t>
  </si>
  <si>
    <t>Library Assistants &amp; Subs</t>
  </si>
  <si>
    <t>Maintenance, Custodians, &amp; Warehouse</t>
  </si>
  <si>
    <t>Library Books &amp; Other Instructional Materials</t>
  </si>
  <si>
    <t>School Office &amp; Nurse Supplies</t>
  </si>
  <si>
    <t>District Office and Deparment Supplies</t>
  </si>
  <si>
    <t>0617</t>
  </si>
  <si>
    <t>Estimated</t>
  </si>
  <si>
    <t>Prior Year</t>
  </si>
  <si>
    <t>I/M, School Sites</t>
  </si>
  <si>
    <t xml:space="preserve">Technology </t>
  </si>
  <si>
    <t>Curriculum, Student Support, Guidance</t>
  </si>
  <si>
    <t>Clerical, Office Staff</t>
  </si>
  <si>
    <t>Library Books and Supplies</t>
  </si>
  <si>
    <t>Technology</t>
  </si>
  <si>
    <t>District Office Supplies</t>
  </si>
  <si>
    <t>Maintenance &amp; Operations</t>
  </si>
  <si>
    <t>Testing Materials</t>
  </si>
  <si>
    <t>Medical Supplies</t>
  </si>
  <si>
    <t>Non-Capital Equipment</t>
  </si>
  <si>
    <t>Adaptive PE</t>
  </si>
  <si>
    <t>Speech/Language Therapist</t>
  </si>
  <si>
    <t>Resource Specialist</t>
  </si>
  <si>
    <t>Autism Inclusion Specialist</t>
  </si>
  <si>
    <t>Special Day Class Teacher</t>
  </si>
  <si>
    <t>Home/Hospital Teacher</t>
  </si>
  <si>
    <t>Psychologists</t>
  </si>
  <si>
    <t>Nurses</t>
  </si>
  <si>
    <t>Support Staff Subs</t>
  </si>
  <si>
    <t>Program Specialist</t>
  </si>
  <si>
    <t>Directors/Supervisors</t>
  </si>
  <si>
    <t>Vocational Nurses</t>
  </si>
  <si>
    <t>Board Cert Behavior Analyst</t>
  </si>
  <si>
    <t>Office Support/Extra Time/Subs</t>
  </si>
  <si>
    <t>Fund 13</t>
  </si>
  <si>
    <t>Fund 14</t>
  </si>
  <si>
    <t>Fund 20</t>
  </si>
  <si>
    <t>Fund 21</t>
  </si>
  <si>
    <t>Fund 25</t>
  </si>
  <si>
    <t>Fund 40, Furniture and equipment replacement</t>
  </si>
  <si>
    <t>Fund 40, New schools and construction, and buses</t>
  </si>
  <si>
    <t>Fund 63</t>
  </si>
  <si>
    <t>Fund 67</t>
  </si>
  <si>
    <t>MS Voucher, General Purpose</t>
  </si>
  <si>
    <t>MS Voucher, Software</t>
  </si>
  <si>
    <t>w/ COLA</t>
  </si>
  <si>
    <t>Salaries to RS 3010</t>
  </si>
  <si>
    <t>From RS 4203</t>
  </si>
  <si>
    <t>From RS 4203 &amp; RS 4035</t>
  </si>
  <si>
    <t>EADMS</t>
  </si>
  <si>
    <t>BrightBytes</t>
  </si>
  <si>
    <t>Intervention Teacher</t>
  </si>
  <si>
    <t>Stipends - Advisor</t>
  </si>
  <si>
    <t>Safety/Renaissance Stipends</t>
  </si>
  <si>
    <t>After School Sports</t>
  </si>
  <si>
    <t>Board Cert. Behavior Analyst</t>
  </si>
  <si>
    <t>Admisision Tickets</t>
  </si>
  <si>
    <t>MPP = 8.55%</t>
  </si>
  <si>
    <t>MPP = 9.84%</t>
  </si>
  <si>
    <t>MPP = 10.04%</t>
  </si>
  <si>
    <t>Incrs for ipads repairs, crack screens</t>
  </si>
  <si>
    <t>Moved to RS 1100</t>
  </si>
  <si>
    <t>Moved to Lottery</t>
  </si>
  <si>
    <t>Grimm's retirement</t>
  </si>
  <si>
    <t>From RS 0000</t>
  </si>
  <si>
    <t>2X75</t>
  </si>
  <si>
    <t>Trainings</t>
  </si>
  <si>
    <t>Debt Service</t>
  </si>
  <si>
    <t>New CEC loan payments</t>
  </si>
  <si>
    <t>New</t>
  </si>
  <si>
    <t xml:space="preserve">Multi-year projections (MYP) are the mathematical result of today’s decisions based on a given set of assumptions.  MYP’s are expected to change as various factors are updated and revised.    Projections will change any time the underlying factors and assumptions are modified, therefore, we must plan and prepare to make changes as conditions and situations change.
The assumptions described below are implemented in the latest MYP.  The primary source of these assumptions are the May Revise Budget, California Department of Education, Department of Finance, School Services of California's Financial Projection Dartboard, other external sources and organizations, and of course the District's historical trends.  
The 2017-18 budget column is the District's proposed 2017-18 Budget with the most up-to-date information available at the time of its development.  The 2016-17 column has been updated for Estimated Actuals.  </t>
  </si>
  <si>
    <t>One-time Wokers' Compensation Reimbursement</t>
  </si>
  <si>
    <t>One-time  Mandate Reimbursement</t>
  </si>
  <si>
    <t>Immaterial increase not budgeted</t>
  </si>
  <si>
    <t>2015-16 UPP Adjustment</t>
  </si>
  <si>
    <t>2016-17 LCFF</t>
  </si>
  <si>
    <t xml:space="preserve"> = $28.42 X 7,760.61</t>
  </si>
  <si>
    <t xml:space="preserve">  =28.42*7690.87</t>
  </si>
  <si>
    <t xml:space="preserve">  =28.42*7677.44</t>
  </si>
  <si>
    <t>Moved majority to Lottery</t>
  </si>
  <si>
    <t>From RS0000</t>
  </si>
  <si>
    <t>COLA to 2016-17</t>
  </si>
  <si>
    <t>Estimated Increase in ADA</t>
  </si>
  <si>
    <t>or          $13 million</t>
  </si>
  <si>
    <t>Removed 2 add'l contract days</t>
  </si>
  <si>
    <t>Funding is based on using the latest FCMAT (Fiscal Crisis &amp; Management Team) LCFF calculator (v18.1b) which includes the following factors:</t>
  </si>
  <si>
    <t>Estimated decrease due to one-time funding</t>
  </si>
  <si>
    <t>One-time Energy Audit Projects</t>
  </si>
  <si>
    <t>The purchase of state adopted textbooks and related instructional materials/consumables for the current year and the anticipated schedule for the subsequent years are displayed below:</t>
  </si>
  <si>
    <t>2017-18 Budget</t>
  </si>
  <si>
    <t>LCFF is estimated at 97% of full implementation.</t>
  </si>
  <si>
    <t>To Fund 40 - Special Reserve for Buses; reduced to $100,000 in subsequent years</t>
  </si>
  <si>
    <t>0653</t>
  </si>
  <si>
    <t>Debt service payments for the CEC loan is estimated at $88,000 per year.</t>
  </si>
  <si>
    <t>Check - Do not erase</t>
  </si>
  <si>
    <t>Tuesday, June 20,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</si>
</sst>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
    <numFmt numFmtId="166" formatCode="0.0%"/>
    <numFmt numFmtId="167" formatCode="[$-F800]dddd\,\ mmmm\ dd\,\ yyyy"/>
    <numFmt numFmtId="168" formatCode="_(* #,##0_);_(* \(#,##0\);_(* &quot;-&quot;??_);_(@_)"/>
    <numFmt numFmtId="169" formatCode="0.000%"/>
    <numFmt numFmtId="170" formatCode="&quot;$&quot;#,##0"/>
    <numFmt numFmtId="171" formatCode="_(* #,##0.00000_);_(* \(#,##0.00000\);_(* &quot;-&quot;??_);_(@_)"/>
    <numFmt numFmtId="172" formatCode="_(&quot;$&quot;* #,##0_);_(&quot;$&quot;* \(#,##0\);_(&quot;$&quot;* &quot;-&quot;??_);_(@_)"/>
    <numFmt numFmtId="173" formatCode="0.0000%"/>
    <numFmt numFmtId="174" formatCode="_(* #,##0.000_);_(* \(#,##0.000\);_(* &quot;-&quot;??_);_(@_)"/>
    <numFmt numFmtId="175" formatCode="_(* #,##0.00000000_);_(* \(#,##0.00000000\);_(* &quot;-&quot;??_);_(@_)"/>
    <numFmt numFmtId="176" formatCode="&quot;$&quot;#,##0.00"/>
    <numFmt numFmtId="177" formatCode="0.000000%"/>
  </numFmts>
  <fonts count="153"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name val="Arial"/>
      <family val="2"/>
    </font>
    <font>
      <b/>
      <u val="singleAccounting"/>
      <sz val="11"/>
      <color theme="1"/>
      <name val="Calibri"/>
      <family val="2"/>
      <scheme val="minor"/>
    </font>
    <font>
      <i/>
      <sz val="11"/>
      <color theme="1"/>
      <name val="Calibri"/>
      <family val="2"/>
      <scheme val="minor"/>
    </font>
    <font>
      <b/>
      <i/>
      <sz val="11"/>
      <color theme="1"/>
      <name val="Calibri"/>
      <family val="2"/>
      <scheme val="minor"/>
    </font>
    <font>
      <b/>
      <i/>
      <u/>
      <sz val="11"/>
      <color theme="1"/>
      <name val="Calibri"/>
      <family val="2"/>
      <scheme val="minor"/>
    </font>
    <font>
      <sz val="12"/>
      <name val="Arial"/>
      <family val="2"/>
    </font>
    <font>
      <sz val="12"/>
      <name val="Arial"/>
      <family val="2"/>
    </font>
    <font>
      <u/>
      <sz val="11"/>
      <color theme="1"/>
      <name val="Calibri"/>
      <family val="2"/>
      <scheme val="minor"/>
    </font>
    <font>
      <sz val="11"/>
      <color rgb="FF000000"/>
      <name val="Calibri"/>
      <family val="2"/>
    </font>
    <font>
      <i/>
      <u val="singleAccounting"/>
      <sz val="11"/>
      <color theme="1"/>
      <name val="Calibri"/>
      <family val="2"/>
      <scheme val="minor"/>
    </font>
    <font>
      <b/>
      <sz val="12"/>
      <color theme="1"/>
      <name val="Calibri"/>
      <family val="2"/>
      <scheme val="minor"/>
    </font>
    <font>
      <sz val="12"/>
      <color theme="1"/>
      <name val="Calibri"/>
      <family val="2"/>
      <scheme val="minor"/>
    </font>
    <font>
      <b/>
      <u/>
      <sz val="12"/>
      <color theme="1"/>
      <name val="Calibri"/>
      <family val="2"/>
      <scheme val="minor"/>
    </font>
    <font>
      <b/>
      <sz val="11"/>
      <color rgb="FFC00000"/>
      <name val="Calibri"/>
      <family val="2"/>
      <scheme val="minor"/>
    </font>
    <font>
      <sz val="11"/>
      <color indexed="8"/>
      <name val="Calibri"/>
      <family val="2"/>
      <scheme val="minor"/>
    </font>
    <font>
      <b/>
      <sz val="11"/>
      <color indexed="8"/>
      <name val="Calibri"/>
      <family val="2"/>
      <scheme val="minor"/>
    </font>
    <font>
      <b/>
      <sz val="12"/>
      <color rgb="FFC00000"/>
      <name val="Calibri"/>
      <family val="2"/>
      <scheme val="minor"/>
    </font>
    <font>
      <sz val="10"/>
      <color theme="1"/>
      <name val="Cambria"/>
      <family val="1"/>
    </font>
    <font>
      <sz val="11"/>
      <name val="Calibri"/>
      <family val="2"/>
      <scheme val="minor"/>
    </font>
    <font>
      <b/>
      <sz val="11"/>
      <color rgb="FF3333FF"/>
      <name val="Calibri"/>
      <family val="2"/>
      <scheme val="minor"/>
    </font>
    <font>
      <sz val="8"/>
      <color theme="1"/>
      <name val="Calibri"/>
      <family val="2"/>
      <scheme val="minor"/>
    </font>
    <font>
      <b/>
      <sz val="8"/>
      <color theme="1"/>
      <name val="Calibri"/>
      <family val="2"/>
      <scheme val="minor"/>
    </font>
    <font>
      <i/>
      <sz val="8"/>
      <color theme="1"/>
      <name val="Calibri"/>
      <family val="2"/>
      <scheme val="minor"/>
    </font>
    <font>
      <sz val="11"/>
      <color rgb="FFC00000"/>
      <name val="Calibri"/>
      <family val="2"/>
      <scheme val="minor"/>
    </font>
    <font>
      <b/>
      <sz val="11"/>
      <name val="Calibri"/>
      <family val="2"/>
      <scheme val="minor"/>
    </font>
    <font>
      <b/>
      <sz val="8"/>
      <name val="Calibri"/>
      <family val="2"/>
      <scheme val="minor"/>
    </font>
    <font>
      <sz val="8"/>
      <name val="Calibri"/>
      <family val="2"/>
      <scheme val="minor"/>
    </font>
    <font>
      <b/>
      <sz val="18"/>
      <color indexed="8"/>
      <name val="Cambria"/>
      <family val="1"/>
      <scheme val="major"/>
    </font>
    <font>
      <b/>
      <sz val="14"/>
      <name val="Cambria"/>
      <family val="1"/>
      <scheme val="major"/>
    </font>
    <font>
      <sz val="11"/>
      <name val="Arial"/>
      <family val="2"/>
    </font>
    <font>
      <sz val="12"/>
      <name val="Cambria"/>
      <family val="1"/>
      <scheme val="major"/>
    </font>
    <font>
      <b/>
      <sz val="12"/>
      <name val="Cambria"/>
      <family val="1"/>
      <scheme val="major"/>
    </font>
    <font>
      <sz val="14"/>
      <name val="Cambria"/>
      <family val="1"/>
      <scheme val="major"/>
    </font>
    <font>
      <sz val="14"/>
      <color rgb="FFC00000"/>
      <name val="Cambria"/>
      <family val="1"/>
      <scheme val="major"/>
    </font>
    <font>
      <sz val="14"/>
      <color rgb="FF3333FF"/>
      <name val="Cambria"/>
      <family val="1"/>
      <scheme val="major"/>
    </font>
    <font>
      <u val="singleAccounting"/>
      <sz val="11"/>
      <name val="Arial"/>
      <family val="2"/>
    </font>
    <font>
      <b/>
      <sz val="11"/>
      <name val="Arial"/>
      <family val="2"/>
    </font>
    <font>
      <sz val="11"/>
      <name val="Cambria"/>
      <family val="1"/>
      <scheme val="major"/>
    </font>
    <font>
      <sz val="14"/>
      <color theme="1"/>
      <name val="Cambria"/>
      <family val="1"/>
      <scheme val="major"/>
    </font>
    <font>
      <sz val="11"/>
      <color rgb="FF3333FF"/>
      <name val="Arial"/>
      <family val="2"/>
    </font>
    <font>
      <sz val="12"/>
      <color rgb="FFC00000"/>
      <name val="Cambria"/>
      <family val="1"/>
      <scheme val="major"/>
    </font>
    <font>
      <sz val="12"/>
      <color indexed="8"/>
      <name val="Arial"/>
      <family val="2"/>
    </font>
    <font>
      <sz val="9"/>
      <name val="Arial"/>
      <family val="2"/>
    </font>
    <font>
      <b/>
      <sz val="14"/>
      <color rgb="FF3333FF"/>
      <name val="Cambria"/>
      <family val="1"/>
      <scheme val="major"/>
    </font>
    <font>
      <sz val="14"/>
      <color indexed="8"/>
      <name val="Cambria"/>
      <family val="1"/>
      <scheme val="major"/>
    </font>
    <font>
      <b/>
      <i/>
      <sz val="11"/>
      <color rgb="FF3333FF"/>
      <name val="Cambria"/>
      <family val="1"/>
      <scheme val="major"/>
    </font>
    <font>
      <b/>
      <u/>
      <sz val="14"/>
      <color rgb="FF3333FF"/>
      <name val="Cambria"/>
      <family val="1"/>
      <scheme val="major"/>
    </font>
    <font>
      <sz val="14"/>
      <color indexed="48"/>
      <name val="Cambria"/>
      <family val="1"/>
      <scheme val="major"/>
    </font>
    <font>
      <b/>
      <sz val="14"/>
      <color indexed="8"/>
      <name val="Cambria"/>
      <family val="1"/>
      <scheme val="major"/>
    </font>
    <font>
      <sz val="10"/>
      <color indexed="8"/>
      <name val="Cambria"/>
      <family val="1"/>
      <scheme val="major"/>
    </font>
    <font>
      <sz val="12"/>
      <color indexed="48"/>
      <name val="Arial"/>
      <family val="2"/>
    </font>
    <font>
      <i/>
      <sz val="11"/>
      <color indexed="8"/>
      <name val="Cambria"/>
      <family val="1"/>
      <scheme val="major"/>
    </font>
    <font>
      <b/>
      <i/>
      <sz val="11"/>
      <name val="Cambria"/>
      <family val="1"/>
      <scheme val="major"/>
    </font>
    <font>
      <b/>
      <sz val="14"/>
      <color indexed="53"/>
      <name val="Cambria"/>
      <family val="1"/>
      <scheme val="major"/>
    </font>
    <font>
      <b/>
      <sz val="14"/>
      <color theme="9" tint="-0.249977111117893"/>
      <name val="Cambria"/>
      <family val="1"/>
      <scheme val="major"/>
    </font>
    <font>
      <i/>
      <sz val="11"/>
      <color indexed="53"/>
      <name val="Cambria"/>
      <family val="1"/>
      <scheme val="major"/>
    </font>
    <font>
      <i/>
      <sz val="11"/>
      <color theme="9" tint="-0.249977111117893"/>
      <name val="Cambria"/>
      <family val="1"/>
      <scheme val="major"/>
    </font>
    <font>
      <i/>
      <sz val="11"/>
      <color rgb="FF3333FF"/>
      <name val="Cambria"/>
      <family val="1"/>
      <scheme val="major"/>
    </font>
    <font>
      <sz val="14"/>
      <color indexed="10"/>
      <name val="Cambria"/>
      <family val="1"/>
      <scheme val="major"/>
    </font>
    <font>
      <b/>
      <sz val="12"/>
      <name val="Arial"/>
      <family val="2"/>
    </font>
    <font>
      <b/>
      <sz val="14"/>
      <color indexed="10"/>
      <name val="Cambria"/>
      <family val="1"/>
      <scheme val="major"/>
    </font>
    <font>
      <sz val="12"/>
      <color rgb="FFC00000"/>
      <name val="Arial"/>
      <family val="2"/>
    </font>
    <font>
      <sz val="14"/>
      <color indexed="12"/>
      <name val="Cambria"/>
      <family val="1"/>
      <scheme val="major"/>
    </font>
    <font>
      <b/>
      <sz val="13"/>
      <name val="Cambria"/>
      <family val="1"/>
      <scheme val="major"/>
    </font>
    <font>
      <b/>
      <sz val="14"/>
      <color indexed="48"/>
      <name val="Cambria"/>
      <family val="1"/>
      <scheme val="major"/>
    </font>
    <font>
      <i/>
      <sz val="11"/>
      <color indexed="48"/>
      <name val="Cambria"/>
      <family val="1"/>
      <scheme val="major"/>
    </font>
    <font>
      <b/>
      <sz val="14"/>
      <color indexed="60"/>
      <name val="Cambria"/>
      <family val="1"/>
      <scheme val="major"/>
    </font>
    <font>
      <b/>
      <u/>
      <sz val="14"/>
      <name val="Cambria"/>
      <family val="1"/>
      <scheme val="major"/>
    </font>
    <font>
      <u/>
      <sz val="14"/>
      <name val="Cambria"/>
      <family val="1"/>
      <scheme val="major"/>
    </font>
    <font>
      <sz val="14"/>
      <color indexed="17"/>
      <name val="Cambria"/>
      <family val="1"/>
      <scheme val="major"/>
    </font>
    <font>
      <b/>
      <u val="singleAccounting"/>
      <sz val="14"/>
      <name val="Cambria"/>
      <family val="1"/>
      <scheme val="major"/>
    </font>
    <font>
      <b/>
      <u val="singleAccounting"/>
      <sz val="12"/>
      <name val="Arial"/>
      <family val="2"/>
    </font>
    <font>
      <sz val="13"/>
      <name val="Cambria"/>
      <family val="1"/>
      <scheme val="major"/>
    </font>
    <font>
      <b/>
      <u/>
      <sz val="14"/>
      <color indexed="8"/>
      <name val="Cambria"/>
      <family val="1"/>
      <scheme val="major"/>
    </font>
    <font>
      <u val="singleAccounting"/>
      <sz val="14"/>
      <color indexed="8"/>
      <name val="Cambria"/>
      <family val="1"/>
      <scheme val="major"/>
    </font>
    <font>
      <b/>
      <u/>
      <sz val="13"/>
      <color indexed="8"/>
      <name val="Cambria"/>
      <family val="1"/>
      <scheme val="major"/>
    </font>
    <font>
      <b/>
      <u/>
      <sz val="13"/>
      <name val="Cambria"/>
      <family val="1"/>
      <scheme val="major"/>
    </font>
    <font>
      <i/>
      <sz val="11"/>
      <color rgb="FFC00000"/>
      <name val="Calibri"/>
      <family val="2"/>
      <scheme val="minor"/>
    </font>
    <font>
      <i/>
      <sz val="11"/>
      <name val="Calibri"/>
      <family val="2"/>
      <scheme val="minor"/>
    </font>
    <font>
      <sz val="10"/>
      <name val="Arial Narrow"/>
      <family val="2"/>
    </font>
    <font>
      <b/>
      <sz val="10"/>
      <name val="Arial Narrow"/>
      <family val="2"/>
    </font>
    <font>
      <sz val="11"/>
      <name val="Arial Narrow"/>
      <family val="2"/>
    </font>
    <font>
      <b/>
      <sz val="11"/>
      <name val="Arial Narrow"/>
      <family val="2"/>
    </font>
    <font>
      <sz val="9"/>
      <name val="Arial Narrow"/>
      <family val="2"/>
    </font>
    <font>
      <sz val="10"/>
      <color theme="1"/>
      <name val="Arial Narrow"/>
      <family val="2"/>
    </font>
    <font>
      <b/>
      <u/>
      <sz val="11"/>
      <name val="Arial Narrow"/>
      <family val="2"/>
    </font>
    <font>
      <b/>
      <sz val="11"/>
      <color rgb="FFFF0000"/>
      <name val="Calibri"/>
      <family val="2"/>
      <scheme val="minor"/>
    </font>
    <font>
      <b/>
      <i/>
      <sz val="11"/>
      <name val="Calibri"/>
      <family val="2"/>
      <scheme val="minor"/>
    </font>
    <font>
      <sz val="9"/>
      <color indexed="8"/>
      <name val="Arial"/>
      <family val="2"/>
    </font>
    <font>
      <u val="singleAccounting"/>
      <sz val="9"/>
      <name val="Arial"/>
      <family val="2"/>
    </font>
    <font>
      <sz val="9"/>
      <color rgb="FF3333FF"/>
      <name val="Arial"/>
      <family val="2"/>
    </font>
    <font>
      <sz val="9"/>
      <color rgb="FF008000"/>
      <name val="Arial"/>
      <family val="2"/>
    </font>
    <font>
      <sz val="9"/>
      <name val="Cambria"/>
      <family val="1"/>
      <scheme val="major"/>
    </font>
    <font>
      <sz val="8"/>
      <name val="Cambria"/>
      <family val="1"/>
      <scheme val="major"/>
    </font>
    <font>
      <sz val="11"/>
      <color rgb="FF008000"/>
      <name val="Calibri"/>
      <family val="2"/>
      <scheme val="minor"/>
    </font>
    <font>
      <b/>
      <sz val="11"/>
      <color rgb="FF008000"/>
      <name val="Calibri"/>
      <family val="2"/>
      <scheme val="minor"/>
    </font>
    <font>
      <b/>
      <u/>
      <sz val="11"/>
      <color rgb="FF008000"/>
      <name val="Calibri"/>
      <family val="2"/>
      <scheme val="minor"/>
    </font>
    <font>
      <b/>
      <sz val="10"/>
      <name val="Arial"/>
      <family val="2"/>
    </font>
    <font>
      <b/>
      <sz val="10"/>
      <name val="Tahoma"/>
      <family val="2"/>
    </font>
    <font>
      <i/>
      <sz val="10"/>
      <name val="Arial"/>
      <family val="2"/>
    </font>
    <font>
      <sz val="12"/>
      <color theme="1"/>
      <name val="Cambria"/>
      <family val="1"/>
    </font>
    <font>
      <b/>
      <sz val="12"/>
      <color theme="1"/>
      <name val="Cambria"/>
      <family val="1"/>
    </font>
    <font>
      <b/>
      <u/>
      <sz val="12"/>
      <color theme="1"/>
      <name val="Cambria"/>
      <family val="1"/>
    </font>
    <font>
      <sz val="12"/>
      <name val="Cambria"/>
      <family val="1"/>
    </font>
    <font>
      <b/>
      <u/>
      <sz val="12"/>
      <color theme="0"/>
      <name val="Cambria"/>
      <family val="1"/>
    </font>
    <font>
      <sz val="12"/>
      <color theme="0"/>
      <name val="Cambria"/>
      <family val="1"/>
    </font>
    <font>
      <b/>
      <sz val="12"/>
      <color rgb="FFC00000"/>
      <name val="Cambria"/>
      <family val="1"/>
    </font>
    <font>
      <sz val="12"/>
      <color rgb="FFC00000"/>
      <name val="Cambria"/>
      <family val="1"/>
    </font>
    <font>
      <sz val="11"/>
      <color rgb="FF3333FF"/>
      <name val="Calibri"/>
      <family val="2"/>
      <scheme val="minor"/>
    </font>
    <font>
      <u/>
      <sz val="11"/>
      <name val="Calibri"/>
      <family val="2"/>
      <scheme val="minor"/>
    </font>
    <font>
      <i/>
      <sz val="9"/>
      <name val="Calibri"/>
      <family val="2"/>
      <scheme val="minor"/>
    </font>
    <font>
      <sz val="9"/>
      <name val="Calibri"/>
      <family val="2"/>
      <scheme val="minor"/>
    </font>
    <font>
      <i/>
      <u val="singleAccounting"/>
      <sz val="9"/>
      <name val="Calibri"/>
      <family val="2"/>
      <scheme val="minor"/>
    </font>
    <font>
      <b/>
      <u/>
      <sz val="12"/>
      <name val="Calibri"/>
      <family val="2"/>
      <scheme val="minor"/>
    </font>
    <font>
      <b/>
      <sz val="12"/>
      <name val="Calibri"/>
      <family val="2"/>
      <scheme val="minor"/>
    </font>
    <font>
      <sz val="12"/>
      <name val="Calibri"/>
      <family val="2"/>
      <scheme val="minor"/>
    </font>
    <font>
      <b/>
      <u val="singleAccounting"/>
      <sz val="11"/>
      <name val="Calibri"/>
      <family val="2"/>
      <scheme val="minor"/>
    </font>
    <font>
      <i/>
      <sz val="8"/>
      <name val="Calibri"/>
      <family val="2"/>
      <scheme val="minor"/>
    </font>
    <font>
      <sz val="8"/>
      <color indexed="8"/>
      <name val="Arial"/>
      <family val="2"/>
    </font>
    <font>
      <b/>
      <sz val="16"/>
      <color rgb="FFC00000"/>
      <name val="Cambria"/>
      <family val="1"/>
      <scheme val="major"/>
    </font>
    <font>
      <b/>
      <sz val="14"/>
      <color rgb="FFC00000"/>
      <name val="Cambria"/>
      <family val="1"/>
      <scheme val="major"/>
    </font>
    <font>
      <sz val="10"/>
      <color rgb="FFC00000"/>
      <name val="Cambria"/>
      <family val="1"/>
      <scheme val="major"/>
    </font>
    <font>
      <sz val="10"/>
      <color indexed="8"/>
      <name val="Arial"/>
      <family val="2"/>
    </font>
    <font>
      <sz val="10"/>
      <color indexed="48"/>
      <name val="Arial"/>
      <family val="2"/>
    </font>
    <font>
      <sz val="16"/>
      <color rgb="FFC00000"/>
      <name val="Cambria"/>
      <family val="1"/>
      <scheme val="major"/>
    </font>
    <font>
      <b/>
      <sz val="11"/>
      <name val="Cambria"/>
      <family val="1"/>
      <scheme val="major"/>
    </font>
    <font>
      <sz val="8"/>
      <color rgb="FFC00000"/>
      <name val="Calibri"/>
      <family val="2"/>
      <scheme val="minor"/>
    </font>
    <font>
      <sz val="9"/>
      <color indexed="81"/>
      <name val="Tahoma"/>
      <family val="2"/>
    </font>
    <font>
      <sz val="10"/>
      <color theme="1"/>
      <name val="Calibri"/>
      <family val="2"/>
      <scheme val="minor"/>
    </font>
    <font>
      <b/>
      <u/>
      <sz val="12"/>
      <name val="Arial"/>
      <family val="2"/>
    </font>
    <font>
      <b/>
      <u/>
      <sz val="11"/>
      <name val="Arial"/>
      <family val="2"/>
    </font>
    <font>
      <sz val="11"/>
      <color rgb="FFC00000"/>
      <name val="Arial"/>
      <family val="2"/>
    </font>
    <font>
      <sz val="9"/>
      <color rgb="FFC00000"/>
      <name val="Arial"/>
      <family val="2"/>
    </font>
    <font>
      <sz val="12"/>
      <color theme="1"/>
      <name val="Arial"/>
      <family val="2"/>
    </font>
    <font>
      <b/>
      <sz val="12"/>
      <color rgb="FF3333FF"/>
      <name val="Arial"/>
      <family val="2"/>
    </font>
    <font>
      <sz val="11"/>
      <color rgb="FF3333FF"/>
      <name val="Cambria"/>
      <family val="1"/>
      <scheme val="major"/>
    </font>
    <font>
      <b/>
      <sz val="12"/>
      <color rgb="FF7030A0"/>
      <name val="Arial"/>
      <family val="2"/>
    </font>
    <font>
      <sz val="11"/>
      <color rgb="FFFF0000"/>
      <name val="Calibri"/>
      <family val="2"/>
      <scheme val="minor"/>
    </font>
    <font>
      <b/>
      <u val="singleAccounting"/>
      <sz val="11"/>
      <color rgb="FFC00000"/>
      <name val="Calibri"/>
      <family val="2"/>
      <scheme val="minor"/>
    </font>
    <font>
      <b/>
      <sz val="11"/>
      <color rgb="FF7030A0"/>
      <name val="Calibri"/>
      <family val="2"/>
      <scheme val="minor"/>
    </font>
    <font>
      <b/>
      <sz val="12"/>
      <color rgb="FF3333FF"/>
      <name val="Calibri"/>
      <family val="2"/>
      <scheme val="minor"/>
    </font>
    <font>
      <b/>
      <i/>
      <sz val="9"/>
      <color rgb="FF008000"/>
      <name val="Calibri"/>
      <family val="2"/>
      <scheme val="minor"/>
    </font>
    <font>
      <b/>
      <sz val="11"/>
      <color theme="9" tint="-0.249977111117893"/>
      <name val="Calibri"/>
      <family val="2"/>
      <scheme val="minor"/>
    </font>
    <font>
      <i/>
      <sz val="9"/>
      <color rgb="FF008000"/>
      <name val="Calibri"/>
      <family val="2"/>
      <scheme val="minor"/>
    </font>
    <font>
      <i/>
      <sz val="9"/>
      <color theme="9" tint="-0.249977111117893"/>
      <name val="Calibri"/>
      <family val="2"/>
      <scheme val="minor"/>
    </font>
    <font>
      <b/>
      <i/>
      <sz val="11"/>
      <color rgb="FFC00000"/>
      <name val="Calibri"/>
      <family val="2"/>
      <scheme val="minor"/>
    </font>
    <font>
      <u val="singleAccounting"/>
      <sz val="11"/>
      <color theme="1"/>
      <name val="Calibri"/>
      <family val="2"/>
      <scheme val="minor"/>
    </font>
    <font>
      <sz val="11"/>
      <color rgb="FF000000"/>
      <name val="Calibri"/>
      <family val="2"/>
    </font>
    <font>
      <i/>
      <sz val="12"/>
      <name val="Calibri"/>
      <family val="2"/>
    </font>
  </fonts>
  <fills count="22">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CC"/>
        <bgColor indexed="64"/>
      </patternFill>
    </fill>
    <fill>
      <patternFill patternType="solid">
        <fgColor indexed="43"/>
        <bgColor indexed="64"/>
      </patternFill>
    </fill>
    <fill>
      <patternFill patternType="solid">
        <fgColor indexed="44"/>
        <bgColor indexed="64"/>
      </patternFill>
    </fill>
    <fill>
      <patternFill patternType="solid">
        <fgColor rgb="FF99CCFF"/>
        <bgColor indexed="64"/>
      </patternFill>
    </fill>
    <fill>
      <patternFill patternType="solid">
        <fgColor indexed="42"/>
        <bgColor indexed="64"/>
      </patternFill>
    </fill>
    <fill>
      <patternFill patternType="solid">
        <fgColor rgb="FFCCFFCC"/>
        <bgColor indexed="64"/>
      </patternFill>
    </fill>
    <fill>
      <patternFill patternType="solid">
        <fgColor indexed="9"/>
        <bgColor indexed="64"/>
      </patternFill>
    </fill>
    <fill>
      <patternFill patternType="solid">
        <fgColor rgb="FFFDE9D9"/>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39997558519241921"/>
        <bgColor indexed="64"/>
      </patternFill>
    </fill>
  </fills>
  <borders count="120">
    <border>
      <left/>
      <right/>
      <top/>
      <bottom/>
      <diagonal/>
    </border>
    <border>
      <left/>
      <right/>
      <top style="thin">
        <color indexed="64"/>
      </top>
      <bottom/>
      <diagonal/>
    </border>
    <border>
      <left/>
      <right/>
      <top/>
      <bottom style="thin">
        <color indexed="64"/>
      </bottom>
      <diagonal/>
    </border>
    <border>
      <left/>
      <right/>
      <top/>
      <bottom style="dashed">
        <color auto="1"/>
      </bottom>
      <diagonal/>
    </border>
    <border>
      <left/>
      <right style="thick">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ck">
        <color theme="3" tint="0.59996337778862885"/>
      </top>
      <bottom/>
      <diagonal/>
    </border>
    <border>
      <left style="thick">
        <color theme="3" tint="0.59996337778862885"/>
      </left>
      <right style="thick">
        <color theme="3" tint="0.59996337778862885"/>
      </right>
      <top style="thin">
        <color indexed="64"/>
      </top>
      <bottom style="thick">
        <color theme="3" tint="0.59996337778862885"/>
      </bottom>
      <diagonal/>
    </border>
    <border>
      <left style="thick">
        <color theme="3" tint="0.59996337778862885"/>
      </left>
      <right style="thick">
        <color theme="3" tint="0.59996337778862885"/>
      </right>
      <top/>
      <bottom style="thin">
        <color indexed="64"/>
      </bottom>
      <diagonal/>
    </border>
    <border>
      <left/>
      <right/>
      <top style="dashed">
        <color theme="5" tint="0.59996337778862885"/>
      </top>
      <bottom style="dashed">
        <color theme="5" tint="0.59996337778862885"/>
      </bottom>
      <diagonal/>
    </border>
    <border>
      <left style="thick">
        <color theme="3" tint="0.59996337778862885"/>
      </left>
      <right style="thick">
        <color theme="3" tint="0.59996337778862885"/>
      </right>
      <top/>
      <bottom/>
      <diagonal/>
    </border>
    <border>
      <left/>
      <right/>
      <top/>
      <bottom style="dashed">
        <color theme="5" tint="0.59996337778862885"/>
      </bottom>
      <diagonal/>
    </border>
    <border>
      <left style="thick">
        <color theme="3" tint="0.39994506668294322"/>
      </left>
      <right style="thick">
        <color theme="3" tint="0.39991454817346722"/>
      </right>
      <top/>
      <bottom/>
      <diagonal/>
    </border>
    <border>
      <left/>
      <right style="thick">
        <color theme="3" tint="0.39994506668294322"/>
      </right>
      <top/>
      <bottom/>
      <diagonal/>
    </border>
    <border>
      <left style="thick">
        <color theme="3" tint="0.39994506668294322"/>
      </left>
      <right style="thick">
        <color theme="3" tint="0.39994506668294322"/>
      </right>
      <top/>
      <bottom/>
      <diagonal/>
    </border>
    <border>
      <left style="thick">
        <color theme="3" tint="0.39994506668294322"/>
      </left>
      <right style="thick">
        <color theme="3" tint="0.39991454817346722"/>
      </right>
      <top style="thick">
        <color theme="3" tint="0.39991454817346722"/>
      </top>
      <bottom style="thin">
        <color indexed="64"/>
      </bottom>
      <diagonal/>
    </border>
    <border>
      <left/>
      <right style="thick">
        <color theme="3" tint="0.39994506668294322"/>
      </right>
      <top/>
      <bottom style="thin">
        <color indexed="64"/>
      </bottom>
      <diagonal/>
    </border>
    <border>
      <left style="thick">
        <color rgb="FF3333FF"/>
      </left>
      <right style="thick">
        <color rgb="FF3333FF"/>
      </right>
      <top style="thin">
        <color indexed="64"/>
      </top>
      <bottom/>
      <diagonal/>
    </border>
    <border>
      <left style="thick">
        <color rgb="FF3333FF"/>
      </left>
      <right style="thick">
        <color rgb="FF3333FF"/>
      </right>
      <top/>
      <bottom style="thin">
        <color auto="1"/>
      </bottom>
      <diagonal/>
    </border>
    <border>
      <left style="thin">
        <color indexed="64"/>
      </left>
      <right/>
      <top/>
      <bottom style="hair">
        <color indexed="23"/>
      </bottom>
      <diagonal/>
    </border>
    <border>
      <left/>
      <right/>
      <top/>
      <bottom style="hair">
        <color indexed="23"/>
      </bottom>
      <diagonal/>
    </border>
    <border>
      <left style="thick">
        <color rgb="FF3333FF"/>
      </left>
      <right style="thick">
        <color rgb="FF3333FF"/>
      </right>
      <top/>
      <bottom style="hair">
        <color indexed="23"/>
      </bottom>
      <diagonal/>
    </border>
    <border>
      <left style="thin">
        <color indexed="64"/>
      </left>
      <right/>
      <top style="hair">
        <color indexed="23"/>
      </top>
      <bottom style="hair">
        <color indexed="23"/>
      </bottom>
      <diagonal/>
    </border>
    <border>
      <left/>
      <right/>
      <top style="hair">
        <color indexed="23"/>
      </top>
      <bottom style="hair">
        <color indexed="23"/>
      </bottom>
      <diagonal/>
    </border>
    <border>
      <left style="thick">
        <color rgb="FF3333FF"/>
      </left>
      <right style="thick">
        <color rgb="FF3333FF"/>
      </right>
      <top style="hair">
        <color indexed="23"/>
      </top>
      <bottom style="hair">
        <color indexed="23"/>
      </bottom>
      <diagonal/>
    </border>
    <border>
      <left/>
      <right/>
      <top style="hair">
        <color indexed="23"/>
      </top>
      <bottom style="thin">
        <color indexed="64"/>
      </bottom>
      <diagonal/>
    </border>
    <border>
      <left style="thick">
        <color rgb="FF3333FF"/>
      </left>
      <right style="thick">
        <color rgb="FF3333FF"/>
      </right>
      <top style="hair">
        <color indexed="23"/>
      </top>
      <bottom style="thin">
        <color indexed="64"/>
      </bottom>
      <diagonal/>
    </border>
    <border>
      <left style="thin">
        <color indexed="64"/>
      </left>
      <right/>
      <top style="thin">
        <color indexed="64"/>
      </top>
      <bottom style="thin">
        <color indexed="64"/>
      </bottom>
      <diagonal/>
    </border>
    <border>
      <left style="thick">
        <color rgb="FF3333FF"/>
      </left>
      <right style="thick">
        <color rgb="FF3333FF"/>
      </right>
      <top style="thin">
        <color indexed="64"/>
      </top>
      <bottom style="thin">
        <color auto="1"/>
      </bottom>
      <diagonal/>
    </border>
    <border>
      <left/>
      <right style="thin">
        <color indexed="64"/>
      </right>
      <top style="thin">
        <color indexed="64"/>
      </top>
      <bottom style="thin">
        <color indexed="64"/>
      </bottom>
      <diagonal/>
    </border>
    <border>
      <left style="thick">
        <color rgb="FF3333FF"/>
      </left>
      <right style="thick">
        <color rgb="FF3333FF"/>
      </right>
      <top/>
      <bottom/>
      <diagonal/>
    </border>
    <border>
      <left style="thin">
        <color indexed="64"/>
      </left>
      <right/>
      <top style="hair">
        <color indexed="23"/>
      </top>
      <bottom style="thin">
        <color indexed="64"/>
      </bottom>
      <diagonal/>
    </border>
    <border>
      <left style="thick">
        <color rgb="FF3333FF"/>
      </left>
      <right style="thick">
        <color rgb="FF3333FF"/>
      </right>
      <top style="hair">
        <color indexed="23"/>
      </top>
      <bottom style="hair">
        <color indexed="64"/>
      </bottom>
      <diagonal/>
    </border>
    <border>
      <left/>
      <right/>
      <top/>
      <bottom style="hair">
        <color auto="1"/>
      </bottom>
      <diagonal/>
    </border>
    <border>
      <left/>
      <right/>
      <top style="hair">
        <color auto="1"/>
      </top>
      <bottom style="hair">
        <color auto="1"/>
      </bottom>
      <diagonal/>
    </border>
    <border>
      <left/>
      <right/>
      <top style="hair">
        <color auto="1"/>
      </top>
      <bottom style="thin">
        <color indexed="64"/>
      </bottom>
      <diagonal/>
    </border>
    <border>
      <left/>
      <right/>
      <top style="hair">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diagonal/>
    </border>
    <border>
      <left style="thin">
        <color indexed="64"/>
      </left>
      <right style="thin">
        <color indexed="64"/>
      </right>
      <top style="double">
        <color indexed="64"/>
      </top>
      <bottom/>
      <diagonal/>
    </border>
    <border>
      <left style="thin">
        <color indexed="64"/>
      </left>
      <right style="thin">
        <color indexed="64"/>
      </right>
      <top style="hair">
        <color auto="1"/>
      </top>
      <bottom style="thin">
        <color indexed="64"/>
      </bottom>
      <diagonal/>
    </border>
    <border>
      <left style="thin">
        <color indexed="64"/>
      </left>
      <right/>
      <top style="thin">
        <color indexed="64"/>
      </top>
      <bottom style="double">
        <color indexed="64"/>
      </bottom>
      <diagonal/>
    </border>
    <border>
      <left style="thin">
        <color indexed="64"/>
      </left>
      <right/>
      <top style="hair">
        <color auto="1"/>
      </top>
      <bottom style="hair">
        <color auto="1"/>
      </bottom>
      <diagonal/>
    </border>
    <border>
      <left style="thin">
        <color indexed="64"/>
      </left>
      <right/>
      <top style="hair">
        <color auto="1"/>
      </top>
      <bottom/>
      <diagonal/>
    </border>
    <border>
      <left style="thin">
        <color indexed="64"/>
      </left>
      <right/>
      <top style="hair">
        <color auto="1"/>
      </top>
      <bottom style="thin">
        <color indexed="64"/>
      </bottom>
      <diagonal/>
    </border>
    <border>
      <left style="thin">
        <color indexed="64"/>
      </left>
      <right/>
      <top/>
      <bottom style="hair">
        <color auto="1"/>
      </bottom>
      <diagonal/>
    </border>
    <border>
      <left style="thin">
        <color indexed="64"/>
      </left>
      <right style="thin">
        <color indexed="64"/>
      </right>
      <top/>
      <bottom style="hair">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hair">
        <color auto="1"/>
      </top>
      <bottom style="hair">
        <color auto="1"/>
      </bottom>
      <diagonal/>
    </border>
    <border>
      <left/>
      <right style="thin">
        <color indexed="64"/>
      </right>
      <top/>
      <bottom style="hair">
        <color auto="1"/>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thin">
        <color indexed="64"/>
      </top>
      <bottom style="hair">
        <color auto="1"/>
      </bottom>
      <diagonal/>
    </border>
    <border>
      <left/>
      <right style="thin">
        <color indexed="64"/>
      </right>
      <top style="hair">
        <color indexed="64"/>
      </top>
      <bottom/>
      <diagonal/>
    </border>
    <border>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bottom style="hair">
        <color indexed="23"/>
      </bottom>
      <diagonal/>
    </border>
    <border>
      <left style="thin">
        <color indexed="64"/>
      </left>
      <right style="thin">
        <color indexed="64"/>
      </right>
      <top style="hair">
        <color indexed="23"/>
      </top>
      <bottom style="hair">
        <color indexed="23"/>
      </bottom>
      <diagonal/>
    </border>
    <border>
      <left style="thin">
        <color indexed="64"/>
      </left>
      <right style="thin">
        <color indexed="64"/>
      </right>
      <top style="hair">
        <color indexed="23"/>
      </top>
      <bottom style="thin">
        <color indexed="64"/>
      </bottom>
      <diagonal/>
    </border>
    <border>
      <left style="thin">
        <color indexed="64"/>
      </left>
      <right style="thick">
        <color rgb="FF3333FF"/>
      </right>
      <top style="thin">
        <color indexed="64"/>
      </top>
      <bottom style="thin">
        <color auto="1"/>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style="hair">
        <color indexed="23"/>
      </bottom>
      <diagonal/>
    </border>
    <border>
      <left style="double">
        <color indexed="64"/>
      </left>
      <right/>
      <top style="hair">
        <color indexed="23"/>
      </top>
      <bottom style="hair">
        <color indexed="23"/>
      </bottom>
      <diagonal/>
    </border>
    <border>
      <left style="double">
        <color indexed="64"/>
      </left>
      <right/>
      <top style="hair">
        <color indexed="23"/>
      </top>
      <bottom style="thin">
        <color indexed="64"/>
      </bottom>
      <diagonal/>
    </border>
    <border>
      <left style="double">
        <color indexed="64"/>
      </left>
      <right/>
      <top/>
      <bottom/>
      <diagonal/>
    </border>
    <border>
      <left style="double">
        <color indexed="64"/>
      </left>
      <right/>
      <top style="thin">
        <color indexed="64"/>
      </top>
      <bottom style="hair">
        <color auto="1"/>
      </bottom>
      <diagonal/>
    </border>
    <border>
      <left style="double">
        <color indexed="64"/>
      </left>
      <right/>
      <top style="hair">
        <color auto="1"/>
      </top>
      <bottom style="hair">
        <color auto="1"/>
      </bottom>
      <diagonal/>
    </border>
    <border>
      <left style="double">
        <color indexed="64"/>
      </left>
      <right/>
      <top/>
      <bottom style="hair">
        <color indexed="64"/>
      </bottom>
      <diagonal/>
    </border>
    <border>
      <left style="thin">
        <color indexed="64"/>
      </left>
      <right style="thick">
        <color rgb="FF3333FF"/>
      </right>
      <top style="thin">
        <color indexed="64"/>
      </top>
      <bottom/>
      <diagonal/>
    </border>
    <border>
      <left style="thin">
        <color indexed="64"/>
      </left>
      <right style="thick">
        <color rgb="FF3333FF"/>
      </right>
      <top/>
      <bottom style="thin">
        <color auto="1"/>
      </bottom>
      <diagonal/>
    </border>
    <border>
      <left style="thin">
        <color indexed="64"/>
      </left>
      <right style="thick">
        <color rgb="FF3333FF"/>
      </right>
      <top/>
      <bottom style="hair">
        <color indexed="23"/>
      </bottom>
      <diagonal/>
    </border>
    <border>
      <left style="thin">
        <color indexed="64"/>
      </left>
      <right style="thick">
        <color rgb="FF3333FF"/>
      </right>
      <top style="hair">
        <color indexed="23"/>
      </top>
      <bottom style="hair">
        <color indexed="23"/>
      </bottom>
      <diagonal/>
    </border>
    <border>
      <left style="thin">
        <color indexed="64"/>
      </left>
      <right style="thick">
        <color rgb="FF3333FF"/>
      </right>
      <top style="hair">
        <color indexed="23"/>
      </top>
      <bottom style="thin">
        <color indexed="64"/>
      </bottom>
      <diagonal/>
    </border>
    <border>
      <left style="thin">
        <color indexed="64"/>
      </left>
      <right style="thick">
        <color rgb="FF3333FF"/>
      </right>
      <top/>
      <bottom/>
      <diagonal/>
    </border>
    <border>
      <left style="thin">
        <color indexed="64"/>
      </left>
      <right style="thick">
        <color rgb="FF3333FF"/>
      </right>
      <top style="hair">
        <color indexed="23"/>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style="thin">
        <color indexed="64"/>
      </left>
      <right/>
      <top style="hair">
        <color auto="1"/>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ck">
        <color rgb="FF3333FF"/>
      </left>
      <right style="thick">
        <color rgb="FF3333FF"/>
      </right>
      <top style="thick">
        <color rgb="FF3333FF"/>
      </top>
      <bottom style="thin">
        <color indexed="64"/>
      </bottom>
      <diagonal/>
    </border>
    <border>
      <left style="thick">
        <color rgb="FF3333FF"/>
      </left>
      <right style="thick">
        <color rgb="FF3333FF"/>
      </right>
      <top/>
      <bottom style="hair">
        <color auto="1"/>
      </bottom>
      <diagonal/>
    </border>
    <border>
      <left style="thick">
        <color rgb="FF3333FF"/>
      </left>
      <right style="thick">
        <color rgb="FF3333FF"/>
      </right>
      <top style="hair">
        <color auto="1"/>
      </top>
      <bottom style="hair">
        <color auto="1"/>
      </bottom>
      <diagonal/>
    </border>
    <border>
      <left style="thick">
        <color rgb="FF3333FF"/>
      </left>
      <right style="thick">
        <color rgb="FF3333FF"/>
      </right>
      <top style="thin">
        <color indexed="64"/>
      </top>
      <bottom style="double">
        <color indexed="64"/>
      </bottom>
      <diagonal/>
    </border>
    <border>
      <left style="thick">
        <color rgb="FF3333FF"/>
      </left>
      <right style="thick">
        <color rgb="FF3333FF"/>
      </right>
      <top style="double">
        <color indexed="64"/>
      </top>
      <bottom/>
      <diagonal/>
    </border>
    <border>
      <left style="thick">
        <color rgb="FF3333FF"/>
      </left>
      <right style="thick">
        <color rgb="FF3333FF"/>
      </right>
      <top style="hair">
        <color auto="1"/>
      </top>
      <bottom/>
      <diagonal/>
    </border>
    <border>
      <left style="thick">
        <color rgb="FF3333FF"/>
      </left>
      <right style="thick">
        <color rgb="FF3333FF"/>
      </right>
      <top/>
      <bottom style="double">
        <color indexed="64"/>
      </bottom>
      <diagonal/>
    </border>
    <border>
      <left style="thick">
        <color rgb="FF3333FF"/>
      </left>
      <right style="thick">
        <color rgb="FF3333FF"/>
      </right>
      <top/>
      <bottom style="thick">
        <color rgb="FF3333FF"/>
      </bottom>
      <diagonal/>
    </border>
    <border>
      <left style="thin">
        <color indexed="64"/>
      </left>
      <right/>
      <top style="hair">
        <color auto="1"/>
      </top>
      <bottom style="thin">
        <color indexed="64"/>
      </bottom>
      <diagonal/>
    </border>
    <border>
      <left/>
      <right style="thin">
        <color indexed="64"/>
      </right>
      <top style="hair">
        <color auto="1"/>
      </top>
      <bottom style="thin">
        <color indexed="64"/>
      </bottom>
      <diagonal/>
    </border>
    <border>
      <left style="thick">
        <color rgb="FF3333FF"/>
      </left>
      <right style="thick">
        <color rgb="FF3333FF"/>
      </right>
      <top style="hair">
        <color auto="1"/>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rgb="FF3333FF"/>
      </left>
      <right style="thick">
        <color rgb="FF3333FF"/>
      </right>
      <top style="thin">
        <color indexed="64"/>
      </top>
      <bottom style="hair">
        <color auto="1"/>
      </bottom>
      <diagonal/>
    </border>
    <border>
      <left style="thick">
        <color rgb="FF3333FF"/>
      </left>
      <right style="thick">
        <color rgb="FF3333FF"/>
      </right>
      <top style="double">
        <color indexed="64"/>
      </top>
      <bottom style="thin">
        <color indexed="64"/>
      </bottom>
      <diagonal/>
    </border>
  </borders>
  <cellStyleXfs count="49">
    <xf numFmtId="167" fontId="0" fillId="0" borderId="0"/>
    <xf numFmtId="43" fontId="1" fillId="0" borderId="0" applyFont="0" applyFill="0" applyBorder="0" applyAlignment="0" applyProtection="0"/>
    <xf numFmtId="9" fontId="1" fillId="0" borderId="0" applyFont="0" applyFill="0" applyBorder="0" applyAlignment="0" applyProtection="0"/>
    <xf numFmtId="167" fontId="4" fillId="0" borderId="0"/>
    <xf numFmtId="167" fontId="1" fillId="0" borderId="0"/>
    <xf numFmtId="9" fontId="9" fillId="0" borderId="0" applyFont="0" applyFill="0" applyBorder="0" applyAlignment="0" applyProtection="0"/>
    <xf numFmtId="167" fontId="10" fillId="0" borderId="0"/>
    <xf numFmtId="167" fontId="1" fillId="0" borderId="0"/>
    <xf numFmtId="43" fontId="9"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xf numFmtId="167" fontId="1" fillId="0" borderId="0"/>
    <xf numFmtId="167"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167" fontId="9" fillId="0" borderId="0"/>
    <xf numFmtId="167" fontId="9" fillId="0" borderId="0"/>
    <xf numFmtId="167" fontId="1" fillId="0" borderId="0"/>
    <xf numFmtId="167" fontId="4" fillId="0" borderId="0"/>
    <xf numFmtId="44"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167" fontId="9" fillId="0" borderId="0"/>
    <xf numFmtId="0" fontId="4" fillId="0" borderId="0"/>
    <xf numFmtId="44" fontId="4"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51" fillId="0" borderId="0"/>
  </cellStyleXfs>
  <cellXfs count="2159">
    <xf numFmtId="167" fontId="0" fillId="0" borderId="0" xfId="0"/>
    <xf numFmtId="167" fontId="2" fillId="0" borderId="0" xfId="0" applyFont="1" applyAlignment="1">
      <alignment horizontal="right"/>
    </xf>
    <xf numFmtId="43" fontId="0" fillId="0" borderId="0" xfId="1" applyFont="1"/>
    <xf numFmtId="43" fontId="0" fillId="0" borderId="0" xfId="1" applyFont="1" applyAlignment="1">
      <alignment horizontal="center"/>
    </xf>
    <xf numFmtId="167" fontId="2" fillId="0" borderId="0" xfId="0" applyFont="1" applyBorder="1"/>
    <xf numFmtId="43" fontId="2" fillId="0" borderId="0" xfId="1" applyFont="1" applyBorder="1" applyAlignment="1">
      <alignment horizontal="center"/>
    </xf>
    <xf numFmtId="43" fontId="2" fillId="0" borderId="0" xfId="1" applyFont="1" applyBorder="1"/>
    <xf numFmtId="167" fontId="2" fillId="0" borderId="0" xfId="0" applyFont="1" applyBorder="1" applyAlignment="1">
      <alignment horizontal="left"/>
    </xf>
    <xf numFmtId="43" fontId="2" fillId="0" borderId="1" xfId="1" applyFont="1" applyBorder="1" applyAlignment="1">
      <alignment horizontal="center"/>
    </xf>
    <xf numFmtId="43" fontId="2" fillId="0" borderId="0" xfId="1" applyFont="1" applyAlignment="1">
      <alignment horizontal="center"/>
    </xf>
    <xf numFmtId="43" fontId="2" fillId="0" borderId="0" xfId="1" applyFont="1"/>
    <xf numFmtId="164" fontId="0" fillId="0" borderId="0" xfId="0" applyNumberFormat="1" applyFont="1" applyAlignment="1">
      <alignment horizontal="left"/>
    </xf>
    <xf numFmtId="49" fontId="0" fillId="0" borderId="0" xfId="0" applyNumberFormat="1" applyFont="1" applyAlignment="1">
      <alignment horizontal="right"/>
    </xf>
    <xf numFmtId="167" fontId="2" fillId="0" borderId="0" xfId="0" applyFont="1"/>
    <xf numFmtId="43" fontId="2" fillId="0" borderId="2" xfId="1" applyFont="1" applyBorder="1" applyAlignment="1">
      <alignment horizontal="center"/>
    </xf>
    <xf numFmtId="9" fontId="2" fillId="0" borderId="0" xfId="2" applyFont="1" applyAlignment="1">
      <alignment horizontal="center"/>
    </xf>
    <xf numFmtId="43" fontId="0" fillId="0" borderId="0" xfId="0" applyNumberFormat="1"/>
    <xf numFmtId="43" fontId="0" fillId="0" borderId="2" xfId="1" applyFont="1" applyBorder="1"/>
    <xf numFmtId="43" fontId="0" fillId="0" borderId="0" xfId="1" applyNumberFormat="1" applyFont="1" applyAlignment="1">
      <alignment horizontal="center"/>
    </xf>
    <xf numFmtId="43" fontId="2" fillId="0" borderId="0" xfId="0" applyNumberFormat="1" applyFont="1" applyAlignment="1">
      <alignment horizontal="center"/>
    </xf>
    <xf numFmtId="49" fontId="2" fillId="0" borderId="0" xfId="0" applyNumberFormat="1" applyFont="1" applyAlignment="1">
      <alignment horizontal="right"/>
    </xf>
    <xf numFmtId="49" fontId="2" fillId="0" borderId="0" xfId="0" applyNumberFormat="1" applyFont="1" applyAlignment="1">
      <alignment horizontal="left"/>
    </xf>
    <xf numFmtId="49" fontId="2" fillId="0" borderId="0" xfId="0" applyNumberFormat="1" applyFont="1" applyBorder="1" applyAlignment="1">
      <alignment horizontal="left"/>
    </xf>
    <xf numFmtId="14" fontId="2" fillId="5" borderId="0" xfId="0" applyNumberFormat="1" applyFont="1" applyFill="1" applyAlignment="1">
      <alignment horizontal="left"/>
    </xf>
    <xf numFmtId="43" fontId="0" fillId="0" borderId="1" xfId="1" applyFont="1" applyBorder="1" applyAlignment="1">
      <alignment horizontal="center"/>
    </xf>
    <xf numFmtId="43" fontId="0" fillId="0" borderId="0" xfId="1" applyFont="1" applyBorder="1" applyAlignment="1">
      <alignment horizontal="center"/>
    </xf>
    <xf numFmtId="167" fontId="2" fillId="0" borderId="0" xfId="0" applyFont="1" applyBorder="1" applyAlignment="1">
      <alignment horizontal="right"/>
    </xf>
    <xf numFmtId="43" fontId="0" fillId="0" borderId="0" xfId="1" applyNumberFormat="1" applyFont="1" applyBorder="1" applyAlignment="1">
      <alignment horizontal="center"/>
    </xf>
    <xf numFmtId="14" fontId="2" fillId="0" borderId="0" xfId="0" applyNumberFormat="1" applyFont="1" applyFill="1" applyBorder="1" applyAlignment="1">
      <alignment horizontal="left"/>
    </xf>
    <xf numFmtId="43" fontId="2" fillId="0" borderId="0" xfId="1" applyFont="1" applyFill="1" applyBorder="1" applyAlignment="1">
      <alignment horizontal="center"/>
    </xf>
    <xf numFmtId="43" fontId="0" fillId="0" borderId="0" xfId="1" applyFont="1" applyBorder="1" applyAlignment="1">
      <alignment horizontal="left"/>
    </xf>
    <xf numFmtId="43" fontId="2" fillId="0" borderId="0" xfId="0" applyNumberFormat="1" applyFont="1" applyBorder="1" applyAlignment="1">
      <alignment horizontal="left"/>
    </xf>
    <xf numFmtId="43" fontId="2" fillId="0" borderId="0" xfId="1" applyFont="1" applyFill="1" applyBorder="1" applyAlignment="1">
      <alignment horizontal="left"/>
    </xf>
    <xf numFmtId="43" fontId="2" fillId="0" borderId="0" xfId="1" applyFont="1" applyBorder="1" applyAlignment="1">
      <alignment horizontal="left"/>
    </xf>
    <xf numFmtId="43" fontId="5" fillId="0" borderId="0" xfId="1" applyFont="1" applyBorder="1" applyAlignment="1">
      <alignment horizontal="left"/>
    </xf>
    <xf numFmtId="43" fontId="5" fillId="0" borderId="0" xfId="1" applyFont="1" applyBorder="1" applyAlignment="1">
      <alignment horizontal="center"/>
    </xf>
    <xf numFmtId="43" fontId="0" fillId="0" borderId="0" xfId="1" applyFont="1" applyBorder="1"/>
    <xf numFmtId="43" fontId="2" fillId="0" borderId="0" xfId="1" applyFont="1" applyAlignment="1">
      <alignment horizontal="right"/>
    </xf>
    <xf numFmtId="43" fontId="2" fillId="0" borderId="1" xfId="0" applyNumberFormat="1" applyFont="1" applyBorder="1"/>
    <xf numFmtId="167" fontId="0" fillId="0" borderId="0" xfId="0" applyFont="1"/>
    <xf numFmtId="167" fontId="0" fillId="0" borderId="2" xfId="0" applyFont="1" applyBorder="1"/>
    <xf numFmtId="167" fontId="0" fillId="0" borderId="2" xfId="0" applyFont="1" applyBorder="1" applyAlignment="1">
      <alignment horizontal="center"/>
    </xf>
    <xf numFmtId="165" fontId="0" fillId="0" borderId="2" xfId="0" applyNumberFormat="1" applyFont="1" applyBorder="1" applyAlignment="1">
      <alignment horizontal="left"/>
    </xf>
    <xf numFmtId="167" fontId="0" fillId="0" borderId="0" xfId="0" applyFont="1" applyBorder="1" applyAlignment="1">
      <alignment horizontal="left"/>
    </xf>
    <xf numFmtId="167" fontId="0" fillId="0" borderId="0" xfId="0" applyFont="1" applyAlignment="1">
      <alignment horizontal="center"/>
    </xf>
    <xf numFmtId="43" fontId="0" fillId="0" borderId="0" xfId="0" applyNumberFormat="1" applyFont="1"/>
    <xf numFmtId="167" fontId="0" fillId="0" borderId="0" xfId="0" applyFont="1" applyAlignment="1">
      <alignment horizontal="right"/>
    </xf>
    <xf numFmtId="43" fontId="0" fillId="0" borderId="1" xfId="0" applyNumberFormat="1" applyFont="1" applyBorder="1" applyAlignment="1">
      <alignment horizontal="center"/>
    </xf>
    <xf numFmtId="167" fontId="0" fillId="0" borderId="0" xfId="0" applyFont="1" applyFill="1" applyBorder="1" applyAlignment="1">
      <alignment horizontal="left"/>
    </xf>
    <xf numFmtId="43" fontId="0" fillId="0" borderId="0" xfId="0" applyNumberFormat="1" applyFont="1" applyAlignment="1">
      <alignment horizontal="center"/>
    </xf>
    <xf numFmtId="43" fontId="0" fillId="0" borderId="0" xfId="1" applyFont="1" applyBorder="1" applyAlignment="1"/>
    <xf numFmtId="167" fontId="0" fillId="0" borderId="0" xfId="0" applyFont="1" applyBorder="1"/>
    <xf numFmtId="10" fontId="0" fillId="0" borderId="0" xfId="2" applyNumberFormat="1" applyFont="1" applyAlignment="1">
      <alignment horizontal="right"/>
    </xf>
    <xf numFmtId="43" fontId="2" fillId="0" borderId="0" xfId="0" applyNumberFormat="1" applyFont="1"/>
    <xf numFmtId="167" fontId="2" fillId="0" borderId="0" xfId="0" applyFont="1" applyAlignment="1">
      <alignment horizontal="right" wrapText="1"/>
    </xf>
    <xf numFmtId="49" fontId="3" fillId="0" borderId="0" xfId="0" applyNumberFormat="1" applyFont="1" applyAlignment="1">
      <alignment horizontal="left"/>
    </xf>
    <xf numFmtId="167" fontId="0" fillId="0" borderId="0" xfId="0" applyFont="1" applyFill="1"/>
    <xf numFmtId="43" fontId="2" fillId="0" borderId="0" xfId="1" applyFont="1" applyFill="1" applyBorder="1"/>
    <xf numFmtId="167" fontId="2" fillId="0" borderId="0" xfId="0" applyFont="1" applyFill="1" applyBorder="1"/>
    <xf numFmtId="167" fontId="0" fillId="0" borderId="0" xfId="0" applyFont="1" applyFill="1" applyBorder="1"/>
    <xf numFmtId="43" fontId="0" fillId="0" borderId="0" xfId="0" applyNumberFormat="1" applyFont="1" applyFill="1" applyBorder="1"/>
    <xf numFmtId="43" fontId="0" fillId="0" borderId="0" xfId="1" applyFont="1" applyFill="1" applyBorder="1" applyAlignment="1">
      <alignment horizontal="center"/>
    </xf>
    <xf numFmtId="43" fontId="0" fillId="0" borderId="0" xfId="0" applyNumberFormat="1" applyFont="1" applyFill="1" applyBorder="1" applyAlignment="1">
      <alignment horizontal="center"/>
    </xf>
    <xf numFmtId="167" fontId="0" fillId="0" borderId="0" xfId="0" applyFont="1" applyFill="1" applyBorder="1" applyAlignment="1">
      <alignment horizontal="center"/>
    </xf>
    <xf numFmtId="43" fontId="0" fillId="0" borderId="0" xfId="1" applyNumberFormat="1" applyFont="1" applyFill="1" applyBorder="1" applyAlignment="1">
      <alignment horizontal="center"/>
    </xf>
    <xf numFmtId="9" fontId="2" fillId="0" borderId="0" xfId="2" applyFont="1" applyFill="1" applyBorder="1" applyAlignment="1">
      <alignment horizontal="center"/>
    </xf>
    <xf numFmtId="43" fontId="0" fillId="0" borderId="0" xfId="1" applyFont="1" applyFill="1" applyBorder="1"/>
    <xf numFmtId="43" fontId="0" fillId="0" borderId="0" xfId="0" applyNumberFormat="1" applyFont="1" applyBorder="1"/>
    <xf numFmtId="43" fontId="0" fillId="0" borderId="0" xfId="0" applyNumberFormat="1" applyFont="1" applyBorder="1" applyAlignment="1">
      <alignment horizontal="center"/>
    </xf>
    <xf numFmtId="167" fontId="0" fillId="0" borderId="0" xfId="0" applyFont="1" applyBorder="1" applyAlignment="1">
      <alignment horizontal="center"/>
    </xf>
    <xf numFmtId="9" fontId="2" fillId="0" borderId="0" xfId="2" applyFont="1" applyBorder="1" applyAlignment="1">
      <alignment horizontal="center"/>
    </xf>
    <xf numFmtId="167" fontId="7" fillId="0" borderId="0" xfId="0" applyFont="1" applyBorder="1" applyAlignment="1">
      <alignment horizontal="left"/>
    </xf>
    <xf numFmtId="167" fontId="8" fillId="0" borderId="0" xfId="0" applyFont="1" applyAlignment="1">
      <alignment horizontal="left"/>
    </xf>
    <xf numFmtId="167" fontId="6" fillId="0" borderId="0" xfId="0" applyFont="1" applyAlignment="1">
      <alignment horizontal="left"/>
    </xf>
    <xf numFmtId="167" fontId="7" fillId="0" borderId="0" xfId="0" applyFont="1" applyAlignment="1">
      <alignment horizontal="left"/>
    </xf>
    <xf numFmtId="9" fontId="6" fillId="0" borderId="0" xfId="2" applyFont="1" applyBorder="1" applyAlignment="1">
      <alignment horizontal="left"/>
    </xf>
    <xf numFmtId="167" fontId="2" fillId="0" borderId="0" xfId="0" applyFont="1" applyAlignment="1">
      <alignment wrapText="1"/>
    </xf>
    <xf numFmtId="43" fontId="2" fillId="0" borderId="0" xfId="1" applyNumberFormat="1" applyFont="1" applyAlignment="1">
      <alignment horizontal="center"/>
    </xf>
    <xf numFmtId="43" fontId="2" fillId="0" borderId="1" xfId="0" applyNumberFormat="1" applyFont="1" applyBorder="1" applyAlignment="1">
      <alignment horizontal="center"/>
    </xf>
    <xf numFmtId="43" fontId="5" fillId="0" borderId="0" xfId="1" applyFont="1" applyFill="1" applyBorder="1" applyAlignment="1">
      <alignment horizontal="left"/>
    </xf>
    <xf numFmtId="43" fontId="6" fillId="0" borderId="0" xfId="0" applyNumberFormat="1" applyFont="1" applyAlignment="1">
      <alignment horizontal="left"/>
    </xf>
    <xf numFmtId="9" fontId="0" fillId="0" borderId="0" xfId="2" applyFont="1" applyBorder="1"/>
    <xf numFmtId="171" fontId="0" fillId="0" borderId="0" xfId="1" applyNumberFormat="1" applyFont="1" applyBorder="1"/>
    <xf numFmtId="10" fontId="6" fillId="0" borderId="0" xfId="2" applyNumberFormat="1" applyFont="1" applyAlignment="1">
      <alignment horizontal="right"/>
    </xf>
    <xf numFmtId="166" fontId="6" fillId="0" borderId="0" xfId="2" applyNumberFormat="1" applyFont="1" applyAlignment="1">
      <alignment horizontal="right"/>
    </xf>
    <xf numFmtId="167" fontId="0" fillId="0" borderId="0" xfId="0" applyFont="1" applyBorder="1" applyAlignment="1">
      <alignment horizontal="right"/>
    </xf>
    <xf numFmtId="43" fontId="6" fillId="0" borderId="0" xfId="2" applyNumberFormat="1" applyFont="1" applyBorder="1" applyAlignment="1">
      <alignment horizontal="left"/>
    </xf>
    <xf numFmtId="43" fontId="13" fillId="0" borderId="0" xfId="1" applyFont="1" applyBorder="1" applyAlignment="1">
      <alignment horizontal="left"/>
    </xf>
    <xf numFmtId="167" fontId="14" fillId="0" borderId="0" xfId="0" applyFont="1" applyFill="1" applyAlignment="1">
      <alignment horizontal="center"/>
    </xf>
    <xf numFmtId="167" fontId="15" fillId="0" borderId="0" xfId="0" applyFont="1"/>
    <xf numFmtId="167" fontId="14" fillId="4" borderId="0" xfId="0" applyFont="1" applyFill="1" applyAlignment="1">
      <alignment horizontal="center"/>
    </xf>
    <xf numFmtId="167" fontId="14" fillId="3" borderId="0" xfId="0" applyFont="1" applyFill="1" applyAlignment="1">
      <alignment horizontal="right"/>
    </xf>
    <xf numFmtId="167" fontId="14" fillId="3" borderId="0" xfId="0" applyFont="1" applyFill="1" applyAlignment="1"/>
    <xf numFmtId="167" fontId="14" fillId="0" borderId="0" xfId="0" applyFont="1" applyFill="1" applyBorder="1" applyAlignment="1">
      <alignment horizontal="center"/>
    </xf>
    <xf numFmtId="167" fontId="14" fillId="2" borderId="0" xfId="0" applyFont="1" applyFill="1" applyAlignment="1"/>
    <xf numFmtId="167" fontId="14" fillId="2" borderId="0" xfId="0" applyFont="1" applyFill="1" applyAlignment="1">
      <alignment horizontal="right"/>
    </xf>
    <xf numFmtId="167" fontId="15" fillId="0" borderId="0" xfId="0" applyFont="1" applyAlignment="1">
      <alignment horizontal="right"/>
    </xf>
    <xf numFmtId="43" fontId="6" fillId="0" borderId="0" xfId="1" applyFont="1" applyAlignment="1">
      <alignment horizontal="center"/>
    </xf>
    <xf numFmtId="167" fontId="6" fillId="0" borderId="0" xfId="0" applyFont="1" applyBorder="1" applyAlignment="1">
      <alignment horizontal="left"/>
    </xf>
    <xf numFmtId="43" fontId="6" fillId="0" borderId="0" xfId="1" applyFont="1"/>
    <xf numFmtId="167" fontId="6" fillId="0" borderId="0" xfId="0" applyFont="1"/>
    <xf numFmtId="49" fontId="16" fillId="0" borderId="0" xfId="0" applyNumberFormat="1" applyFont="1" applyAlignment="1">
      <alignment horizontal="left"/>
    </xf>
    <xf numFmtId="49" fontId="2" fillId="0" borderId="0" xfId="0" applyNumberFormat="1" applyFont="1" applyBorder="1" applyAlignment="1">
      <alignment horizontal="right"/>
    </xf>
    <xf numFmtId="167" fontId="2" fillId="0" borderId="0" xfId="0" applyFont="1" applyBorder="1" applyAlignment="1">
      <alignment wrapText="1"/>
    </xf>
    <xf numFmtId="9" fontId="2" fillId="0" borderId="0" xfId="2" applyFont="1" applyAlignment="1">
      <alignment horizontal="left"/>
    </xf>
    <xf numFmtId="167" fontId="18" fillId="0" borderId="0" xfId="0" applyFont="1"/>
    <xf numFmtId="43" fontId="19" fillId="0" borderId="0" xfId="1" applyFont="1" applyFill="1" applyBorder="1" applyAlignment="1">
      <alignment horizontal="left"/>
    </xf>
    <xf numFmtId="43" fontId="0" fillId="0" borderId="3" xfId="1" applyFont="1" applyBorder="1"/>
    <xf numFmtId="43" fontId="0" fillId="0" borderId="0" xfId="1" applyFont="1" applyFill="1"/>
    <xf numFmtId="167" fontId="0" fillId="0" borderId="4" xfId="0" applyFont="1" applyBorder="1"/>
    <xf numFmtId="167" fontId="15" fillId="0" borderId="4" xfId="0" applyFont="1" applyBorder="1" applyAlignment="1">
      <alignment horizontal="right"/>
    </xf>
    <xf numFmtId="167" fontId="2" fillId="0" borderId="4" xfId="0" applyFont="1" applyBorder="1"/>
    <xf numFmtId="43" fontId="0" fillId="0" borderId="1" xfId="1" applyFont="1" applyBorder="1"/>
    <xf numFmtId="43" fontId="0" fillId="0" borderId="0" xfId="1" applyFont="1" applyAlignment="1">
      <alignment horizontal="center" vertical="top"/>
    </xf>
    <xf numFmtId="43" fontId="0" fillId="0" borderId="0" xfId="1" applyFont="1" applyAlignment="1">
      <alignment vertical="top"/>
    </xf>
    <xf numFmtId="43" fontId="0" fillId="0" borderId="0" xfId="1" applyFont="1" applyBorder="1" applyAlignment="1">
      <alignment vertical="top"/>
    </xf>
    <xf numFmtId="43" fontId="0" fillId="0" borderId="0" xfId="1" applyFont="1" applyFill="1" applyBorder="1" applyAlignment="1">
      <alignment vertical="top"/>
    </xf>
    <xf numFmtId="43" fontId="0" fillId="0" borderId="0" xfId="1" applyFont="1" applyBorder="1" applyAlignment="1">
      <alignment horizontal="center" vertical="top"/>
    </xf>
    <xf numFmtId="43" fontId="0" fillId="0" borderId="0" xfId="1" applyFont="1" applyFill="1" applyBorder="1" applyAlignment="1">
      <alignment horizontal="center" vertical="top"/>
    </xf>
    <xf numFmtId="43" fontId="20" fillId="6" borderId="0" xfId="1" applyFont="1" applyFill="1" applyAlignment="1">
      <alignment horizontal="center"/>
    </xf>
    <xf numFmtId="167" fontId="21" fillId="0" borderId="0" xfId="4" applyFont="1" applyAlignment="1">
      <alignment horizontal="right" vertical="top"/>
    </xf>
    <xf numFmtId="167" fontId="0" fillId="0" borderId="0" xfId="0" applyAlignment="1">
      <alignment horizontal="right"/>
    </xf>
    <xf numFmtId="43" fontId="2" fillId="0" borderId="1" xfId="1" applyFont="1" applyFill="1" applyBorder="1" applyAlignment="1">
      <alignment horizontal="center"/>
    </xf>
    <xf numFmtId="43" fontId="6" fillId="0" borderId="0" xfId="1" applyFont="1" applyBorder="1" applyAlignment="1">
      <alignment horizontal="left"/>
    </xf>
    <xf numFmtId="43" fontId="6" fillId="0" borderId="0" xfId="1" applyFont="1" applyAlignment="1">
      <alignment horizontal="left"/>
    </xf>
    <xf numFmtId="43" fontId="14" fillId="2" borderId="0" xfId="1" applyFont="1" applyFill="1" applyAlignment="1">
      <alignment horizontal="right"/>
    </xf>
    <xf numFmtId="43" fontId="0" fillId="0" borderId="0" xfId="1" applyFont="1" applyAlignment="1">
      <alignment horizontal="left"/>
    </xf>
    <xf numFmtId="43" fontId="2" fillId="0" borderId="0" xfId="1" applyFont="1" applyAlignment="1">
      <alignment horizontal="left"/>
    </xf>
    <xf numFmtId="43" fontId="7" fillId="0" borderId="0" xfId="1" applyFont="1" applyAlignment="1">
      <alignment horizontal="left"/>
    </xf>
    <xf numFmtId="43" fontId="7" fillId="0" borderId="0" xfId="1" applyFont="1" applyBorder="1" applyAlignment="1">
      <alignment horizontal="left"/>
    </xf>
    <xf numFmtId="43" fontId="6" fillId="0" borderId="0" xfId="1" applyFont="1" applyAlignment="1">
      <alignment horizontal="right"/>
    </xf>
    <xf numFmtId="43" fontId="0" fillId="0" borderId="0" xfId="1" applyFont="1" applyAlignment="1">
      <alignment horizontal="right"/>
    </xf>
    <xf numFmtId="167" fontId="24" fillId="0" borderId="0" xfId="0" applyFont="1" applyFill="1"/>
    <xf numFmtId="49" fontId="25" fillId="0" borderId="0" xfId="0" applyNumberFormat="1" applyFont="1" applyBorder="1" applyAlignment="1">
      <alignment horizontal="right"/>
    </xf>
    <xf numFmtId="10" fontId="26" fillId="0" borderId="0" xfId="2" applyNumberFormat="1" applyFont="1" applyAlignment="1">
      <alignment horizontal="right"/>
    </xf>
    <xf numFmtId="43" fontId="26" fillId="0" borderId="0" xfId="1" applyFont="1" applyAlignment="1">
      <alignment horizontal="right"/>
    </xf>
    <xf numFmtId="43" fontId="24" fillId="0" borderId="0" xfId="1" applyFont="1" applyFill="1" applyBorder="1" applyAlignment="1">
      <alignment horizontal="center"/>
    </xf>
    <xf numFmtId="43" fontId="26" fillId="0" borderId="0" xfId="1" applyFont="1" applyAlignment="1">
      <alignment horizontal="left"/>
    </xf>
    <xf numFmtId="167" fontId="24" fillId="0" borderId="0" xfId="0" applyFont="1"/>
    <xf numFmtId="167" fontId="26" fillId="0" borderId="0" xfId="0" applyFont="1" applyAlignment="1">
      <alignment horizontal="left"/>
    </xf>
    <xf numFmtId="167" fontId="24" fillId="0" borderId="4" xfId="0" applyFont="1" applyBorder="1"/>
    <xf numFmtId="43" fontId="24" fillId="0" borderId="0" xfId="1" applyFont="1" applyFill="1" applyBorder="1"/>
    <xf numFmtId="167" fontId="24" fillId="0" borderId="0" xfId="0" applyFont="1" applyAlignment="1">
      <alignment horizontal="right"/>
    </xf>
    <xf numFmtId="43" fontId="24" fillId="0" borderId="0" xfId="1" applyFont="1" applyAlignment="1">
      <alignment horizontal="right"/>
    </xf>
    <xf numFmtId="167" fontId="24" fillId="0" borderId="0" xfId="0" applyFont="1" applyFill="1" applyBorder="1"/>
    <xf numFmtId="43" fontId="24" fillId="0" borderId="0" xfId="1" applyFont="1"/>
    <xf numFmtId="43" fontId="24" fillId="0" borderId="1" xfId="1" applyFont="1" applyBorder="1" applyAlignment="1">
      <alignment horizontal="right"/>
    </xf>
    <xf numFmtId="167" fontId="0" fillId="0" borderId="0" xfId="0" applyNumberFormat="1" applyFont="1" applyFill="1"/>
    <xf numFmtId="167" fontId="14" fillId="0" borderId="0" xfId="0" applyNumberFormat="1" applyFont="1" applyFill="1" applyAlignment="1">
      <alignment horizontal="center"/>
    </xf>
    <xf numFmtId="167" fontId="2" fillId="0" borderId="0" xfId="1" applyNumberFormat="1" applyFont="1" applyFill="1" applyBorder="1" applyAlignment="1">
      <alignment horizontal="left"/>
    </xf>
    <xf numFmtId="167" fontId="5" fillId="0" borderId="0" xfId="1" applyNumberFormat="1" applyFont="1" applyFill="1" applyBorder="1" applyAlignment="1">
      <alignment horizontal="left"/>
    </xf>
    <xf numFmtId="167" fontId="2" fillId="0" borderId="0" xfId="0" applyNumberFormat="1" applyFont="1" applyFill="1" applyBorder="1"/>
    <xf numFmtId="167" fontId="0" fillId="0" borderId="0" xfId="1" applyNumberFormat="1" applyFont="1" applyFill="1" applyBorder="1" applyAlignment="1">
      <alignment horizontal="center"/>
    </xf>
    <xf numFmtId="167" fontId="0" fillId="0" borderId="0" xfId="1" applyNumberFormat="1" applyFont="1" applyFill="1" applyBorder="1"/>
    <xf numFmtId="167" fontId="2" fillId="0" borderId="0" xfId="1" applyNumberFormat="1" applyFont="1" applyFill="1" applyBorder="1" applyAlignment="1">
      <alignment horizontal="center"/>
    </xf>
    <xf numFmtId="167" fontId="2" fillId="0" borderId="0" xfId="1" applyNumberFormat="1" applyFont="1" applyFill="1" applyBorder="1"/>
    <xf numFmtId="167" fontId="0" fillId="0" borderId="0" xfId="0" applyNumberFormat="1" applyFont="1" applyFill="1" applyBorder="1"/>
    <xf numFmtId="167" fontId="24" fillId="0" borderId="0" xfId="0" applyNumberFormat="1" applyFont="1" applyFill="1"/>
    <xf numFmtId="167" fontId="26" fillId="0" borderId="0" xfId="2" applyNumberFormat="1" applyFont="1" applyAlignment="1">
      <alignment horizontal="right"/>
    </xf>
    <xf numFmtId="167" fontId="24" fillId="0" borderId="0" xfId="1" applyNumberFormat="1" applyFont="1" applyFill="1" applyBorder="1"/>
    <xf numFmtId="167" fontId="24" fillId="0" borderId="0" xfId="0" applyNumberFormat="1" applyFont="1" applyAlignment="1">
      <alignment horizontal="right"/>
    </xf>
    <xf numFmtId="43" fontId="2" fillId="0" borderId="1" xfId="1" applyFont="1" applyBorder="1"/>
    <xf numFmtId="43" fontId="27" fillId="0" borderId="0" xfId="1" applyFont="1"/>
    <xf numFmtId="43" fontId="0" fillId="5" borderId="0" xfId="1" applyFont="1" applyFill="1" applyAlignment="1">
      <alignment horizontal="center"/>
    </xf>
    <xf numFmtId="167" fontId="9" fillId="0" borderId="0" xfId="28"/>
    <xf numFmtId="167" fontId="28" fillId="0" borderId="0" xfId="28" applyFont="1"/>
    <xf numFmtId="167" fontId="22" fillId="0" borderId="0" xfId="28" applyFont="1"/>
    <xf numFmtId="167" fontId="22" fillId="0" borderId="0" xfId="28" applyFont="1" applyAlignment="1">
      <alignment horizontal="left"/>
    </xf>
    <xf numFmtId="167" fontId="28" fillId="0" borderId="0" xfId="28" applyFont="1" applyFill="1" applyBorder="1" applyAlignment="1">
      <alignment horizontal="center" vertical="center" wrapText="1"/>
    </xf>
    <xf numFmtId="167" fontId="22" fillId="0" borderId="0" xfId="28" applyFont="1" applyFill="1" applyBorder="1"/>
    <xf numFmtId="43" fontId="22" fillId="0" borderId="0" xfId="8" applyFont="1" applyFill="1" applyBorder="1"/>
    <xf numFmtId="167" fontId="22" fillId="5" borderId="0" xfId="28" applyFont="1" applyFill="1" applyAlignment="1">
      <alignment horizontal="left"/>
    </xf>
    <xf numFmtId="43" fontId="22" fillId="5" borderId="0" xfId="8" applyFont="1" applyFill="1" applyBorder="1"/>
    <xf numFmtId="167" fontId="23" fillId="0" borderId="0" xfId="28" applyFont="1"/>
    <xf numFmtId="167" fontId="23" fillId="0" borderId="0" xfId="28" applyFont="1" applyAlignment="1">
      <alignment horizontal="left"/>
    </xf>
    <xf numFmtId="43" fontId="23" fillId="0" borderId="0" xfId="8" applyFont="1" applyFill="1" applyBorder="1"/>
    <xf numFmtId="40" fontId="22" fillId="0" borderId="0" xfId="8" applyNumberFormat="1" applyFont="1" applyFill="1" applyBorder="1"/>
    <xf numFmtId="167" fontId="29" fillId="0" borderId="0" xfId="28" applyFont="1"/>
    <xf numFmtId="167" fontId="30" fillId="0" borderId="0" xfId="28" applyFont="1"/>
    <xf numFmtId="167" fontId="30" fillId="0" borderId="0" xfId="28" applyFont="1" applyAlignment="1">
      <alignment horizontal="right"/>
    </xf>
    <xf numFmtId="43" fontId="30" fillId="0" borderId="0" xfId="8" applyFont="1" applyFill="1" applyBorder="1"/>
    <xf numFmtId="167" fontId="22" fillId="0" borderId="7" xfId="29" applyFont="1" applyBorder="1"/>
    <xf numFmtId="167" fontId="22" fillId="0" borderId="0" xfId="29" applyFont="1" applyBorder="1"/>
    <xf numFmtId="167" fontId="22" fillId="0" borderId="0" xfId="29" applyFont="1" applyBorder="1" applyAlignment="1">
      <alignment horizontal="left"/>
    </xf>
    <xf numFmtId="167" fontId="22" fillId="0" borderId="0" xfId="29" quotePrefix="1" applyFont="1" applyBorder="1" applyAlignment="1">
      <alignment horizontal="center"/>
    </xf>
    <xf numFmtId="43" fontId="22" fillId="0" borderId="0" xfId="8" quotePrefix="1" applyFont="1" applyBorder="1" applyAlignment="1">
      <alignment horizontal="center"/>
    </xf>
    <xf numFmtId="43" fontId="22" fillId="0" borderId="0" xfId="8" quotePrefix="1" applyFont="1" applyFill="1" applyBorder="1" applyAlignment="1">
      <alignment horizontal="center"/>
    </xf>
    <xf numFmtId="43" fontId="22" fillId="0" borderId="8" xfId="8" applyFont="1" applyFill="1" applyBorder="1" applyAlignment="1">
      <alignment horizontal="center"/>
    </xf>
    <xf numFmtId="167" fontId="22" fillId="0" borderId="0" xfId="29" quotePrefix="1" applyFont="1" applyFill="1" applyBorder="1" applyAlignment="1">
      <alignment horizontal="center"/>
    </xf>
    <xf numFmtId="167" fontId="22" fillId="0" borderId="8" xfId="29" applyFont="1" applyFill="1" applyBorder="1" applyAlignment="1">
      <alignment horizontal="center"/>
    </xf>
    <xf numFmtId="167" fontId="28" fillId="0" borderId="7" xfId="29" applyFont="1" applyBorder="1"/>
    <xf numFmtId="167" fontId="28" fillId="0" borderId="0" xfId="29" applyFont="1" applyBorder="1"/>
    <xf numFmtId="167" fontId="28" fillId="0" borderId="0" xfId="29" applyFont="1" applyBorder="1" applyAlignment="1">
      <alignment horizontal="left"/>
    </xf>
    <xf numFmtId="168" fontId="22" fillId="0" borderId="0" xfId="8" applyNumberFormat="1" applyFont="1" applyBorder="1"/>
    <xf numFmtId="168" fontId="22" fillId="0" borderId="8" xfId="8" applyNumberFormat="1" applyFont="1" applyBorder="1"/>
    <xf numFmtId="43" fontId="22" fillId="0" borderId="0" xfId="8" applyFont="1" applyBorder="1"/>
    <xf numFmtId="43" fontId="22" fillId="0" borderId="8" xfId="8" applyFont="1" applyBorder="1"/>
    <xf numFmtId="167" fontId="22" fillId="0" borderId="7" xfId="29" applyFont="1" applyFill="1" applyBorder="1"/>
    <xf numFmtId="167" fontId="22" fillId="0" borderId="0" xfId="29" applyFont="1" applyFill="1" applyBorder="1"/>
    <xf numFmtId="167" fontId="22" fillId="0" borderId="0" xfId="29" applyFont="1" applyFill="1" applyBorder="1" applyAlignment="1">
      <alignment horizontal="left"/>
    </xf>
    <xf numFmtId="43" fontId="22" fillId="0" borderId="0" xfId="8" applyFont="1"/>
    <xf numFmtId="167" fontId="22" fillId="0" borderId="9" xfId="29" applyFont="1" applyFill="1" applyBorder="1"/>
    <xf numFmtId="167" fontId="22" fillId="0" borderId="2" xfId="29" applyFont="1" applyFill="1" applyBorder="1"/>
    <xf numFmtId="167" fontId="22" fillId="0" borderId="2" xfId="29" applyFont="1" applyFill="1" applyBorder="1" applyAlignment="1">
      <alignment horizontal="left"/>
    </xf>
    <xf numFmtId="43" fontId="22" fillId="0" borderId="2" xfId="8" applyFont="1" applyBorder="1"/>
    <xf numFmtId="43" fontId="22" fillId="0" borderId="10" xfId="8" applyFont="1" applyBorder="1"/>
    <xf numFmtId="167" fontId="22" fillId="0" borderId="0" xfId="28" applyFont="1" applyAlignment="1">
      <alignment horizontal="right"/>
    </xf>
    <xf numFmtId="167" fontId="30" fillId="0" borderId="0" xfId="28" applyFont="1" applyAlignment="1">
      <alignment horizontal="left"/>
    </xf>
    <xf numFmtId="43" fontId="22" fillId="0" borderId="8" xfId="8" quotePrefix="1" applyFont="1" applyFill="1" applyBorder="1" applyAlignment="1">
      <alignment horizontal="center"/>
    </xf>
    <xf numFmtId="167" fontId="22" fillId="0" borderId="8" xfId="29" quotePrefix="1" applyFont="1" applyFill="1" applyBorder="1" applyAlignment="1">
      <alignment horizontal="center"/>
    </xf>
    <xf numFmtId="167" fontId="28" fillId="0" borderId="5" xfId="29" applyFont="1" applyBorder="1"/>
    <xf numFmtId="167" fontId="28" fillId="0" borderId="1" xfId="29" applyFont="1" applyBorder="1"/>
    <xf numFmtId="167" fontId="28" fillId="0" borderId="1" xfId="29" applyFont="1" applyBorder="1" applyAlignment="1">
      <alignment horizontal="left"/>
    </xf>
    <xf numFmtId="167" fontId="28" fillId="0" borderId="1" xfId="29" quotePrefix="1" applyFont="1" applyBorder="1" applyAlignment="1">
      <alignment horizontal="center"/>
    </xf>
    <xf numFmtId="167" fontId="28" fillId="0" borderId="1" xfId="29" quotePrefix="1" applyFont="1" applyFill="1" applyBorder="1" applyAlignment="1">
      <alignment horizontal="center"/>
    </xf>
    <xf numFmtId="167" fontId="28" fillId="0" borderId="6" xfId="29" quotePrefix="1" applyFont="1" applyFill="1" applyBorder="1" applyAlignment="1">
      <alignment horizontal="center"/>
    </xf>
    <xf numFmtId="167" fontId="28" fillId="0" borderId="6" xfId="29" applyFont="1" applyFill="1" applyBorder="1" applyAlignment="1">
      <alignment horizontal="center"/>
    </xf>
    <xf numFmtId="43" fontId="0" fillId="6" borderId="0" xfId="1" applyFont="1" applyFill="1" applyAlignment="1">
      <alignment horizontal="center"/>
    </xf>
    <xf numFmtId="167" fontId="32" fillId="11" borderId="11" xfId="29" applyFont="1" applyFill="1" applyBorder="1" applyAlignment="1">
      <alignment horizontal="center" vertical="center" wrapText="1"/>
    </xf>
    <xf numFmtId="167" fontId="32" fillId="0" borderId="11" xfId="29" applyFont="1" applyFill="1" applyBorder="1" applyAlignment="1">
      <alignment horizontal="center" vertical="center" wrapText="1"/>
    </xf>
    <xf numFmtId="167" fontId="33" fillId="0" borderId="0" xfId="29" applyFont="1" applyFill="1" applyAlignment="1">
      <alignment vertical="center"/>
    </xf>
    <xf numFmtId="167" fontId="33" fillId="0" borderId="0" xfId="29" applyFont="1" applyFill="1"/>
    <xf numFmtId="167" fontId="34" fillId="0" borderId="0" xfId="29" applyFont="1" applyFill="1"/>
    <xf numFmtId="167" fontId="35" fillId="11" borderId="0" xfId="29" applyFont="1" applyFill="1" applyBorder="1"/>
    <xf numFmtId="167" fontId="35" fillId="0" borderId="0" xfId="29" applyFont="1" applyFill="1" applyBorder="1"/>
    <xf numFmtId="167" fontId="36" fillId="0" borderId="0" xfId="29" applyFont="1" applyFill="1"/>
    <xf numFmtId="167" fontId="33" fillId="0" borderId="0" xfId="29" applyFont="1" applyAlignment="1"/>
    <xf numFmtId="168" fontId="36" fillId="0" borderId="0" xfId="8" applyNumberFormat="1" applyFont="1" applyFill="1"/>
    <xf numFmtId="167" fontId="33" fillId="0" borderId="0" xfId="29" applyFont="1"/>
    <xf numFmtId="43" fontId="33" fillId="0" borderId="0" xfId="8" applyFont="1"/>
    <xf numFmtId="167" fontId="41" fillId="0" borderId="0" xfId="29" applyFont="1"/>
    <xf numFmtId="168" fontId="37" fillId="11" borderId="0" xfId="8" applyNumberFormat="1" applyFont="1" applyFill="1" applyBorder="1"/>
    <xf numFmtId="168" fontId="37" fillId="0" borderId="0" xfId="8" applyNumberFormat="1" applyFont="1" applyFill="1"/>
    <xf numFmtId="168" fontId="36" fillId="0" borderId="0" xfId="8" applyNumberFormat="1" applyFont="1" applyFill="1" applyBorder="1"/>
    <xf numFmtId="43" fontId="39" fillId="0" borderId="0" xfId="8" applyFont="1" applyAlignment="1">
      <alignment horizontal="center"/>
    </xf>
    <xf numFmtId="172" fontId="36" fillId="0" borderId="0" xfId="16" applyNumberFormat="1" applyFont="1" applyFill="1"/>
    <xf numFmtId="44" fontId="36" fillId="11" borderId="0" xfId="8" applyNumberFormat="1" applyFont="1" applyFill="1" applyBorder="1"/>
    <xf numFmtId="44" fontId="36" fillId="0" borderId="0" xfId="29" applyNumberFormat="1" applyFont="1" applyFill="1"/>
    <xf numFmtId="44" fontId="36" fillId="11" borderId="0" xfId="29" applyNumberFormat="1" applyFont="1" applyFill="1"/>
    <xf numFmtId="167" fontId="40" fillId="0" borderId="0" xfId="29" applyFont="1" applyFill="1" applyAlignment="1">
      <alignment horizontal="right"/>
    </xf>
    <xf numFmtId="167" fontId="33" fillId="0" borderId="0" xfId="29" applyFont="1" applyFill="1" applyAlignment="1">
      <alignment vertical="top"/>
    </xf>
    <xf numFmtId="43" fontId="33" fillId="0" borderId="0" xfId="8" applyFont="1" applyAlignment="1">
      <alignment vertical="top"/>
    </xf>
    <xf numFmtId="167" fontId="33" fillId="0" borderId="0" xfId="29" applyFont="1" applyFill="1" applyAlignment="1">
      <alignment horizontal="right"/>
    </xf>
    <xf numFmtId="43" fontId="39" fillId="0" borderId="0" xfId="8" applyFont="1"/>
    <xf numFmtId="168" fontId="36" fillId="0" borderId="0" xfId="8" applyNumberFormat="1" applyFont="1" applyFill="1" applyAlignment="1">
      <alignment vertical="top"/>
    </xf>
    <xf numFmtId="168" fontId="37" fillId="0" borderId="0" xfId="8" applyNumberFormat="1" applyFont="1" applyFill="1" applyAlignment="1">
      <alignment vertical="top"/>
    </xf>
    <xf numFmtId="168" fontId="36" fillId="0" borderId="2" xfId="8" applyNumberFormat="1" applyFont="1" applyFill="1" applyBorder="1"/>
    <xf numFmtId="172" fontId="36" fillId="11" borderId="0" xfId="29" applyNumberFormat="1" applyFont="1" applyFill="1"/>
    <xf numFmtId="172" fontId="36" fillId="0" borderId="0" xfId="29" applyNumberFormat="1" applyFont="1" applyFill="1"/>
    <xf numFmtId="167" fontId="43" fillId="0" borderId="0" xfId="29" applyFont="1" applyFill="1" applyAlignment="1">
      <alignment vertical="center"/>
    </xf>
    <xf numFmtId="167" fontId="45" fillId="0" borderId="0" xfId="29" applyFont="1" applyFill="1"/>
    <xf numFmtId="44" fontId="36" fillId="5" borderId="0" xfId="29" applyNumberFormat="1" applyFont="1" applyFill="1"/>
    <xf numFmtId="172" fontId="36" fillId="0" borderId="0" xfId="8" applyNumberFormat="1" applyFont="1" applyFill="1"/>
    <xf numFmtId="10" fontId="49" fillId="11" borderId="0" xfId="5" applyNumberFormat="1" applyFont="1" applyFill="1" applyBorder="1" applyAlignment="1">
      <alignment vertical="top"/>
    </xf>
    <xf numFmtId="10" fontId="49" fillId="0" borderId="0" xfId="5" applyNumberFormat="1" applyFont="1" applyFill="1" applyBorder="1" applyAlignment="1">
      <alignment vertical="top"/>
    </xf>
    <xf numFmtId="44" fontId="32" fillId="11" borderId="0" xfId="16" applyNumberFormat="1" applyFont="1" applyFill="1" applyBorder="1"/>
    <xf numFmtId="44" fontId="32" fillId="0" borderId="0" xfId="16" applyNumberFormat="1" applyFont="1" applyFill="1" applyBorder="1"/>
    <xf numFmtId="172" fontId="52" fillId="11" borderId="0" xfId="8" applyNumberFormat="1" applyFont="1" applyFill="1" applyBorder="1"/>
    <xf numFmtId="172" fontId="52" fillId="0" borderId="0" xfId="8" applyNumberFormat="1" applyFont="1" applyFill="1"/>
    <xf numFmtId="168" fontId="52" fillId="11" borderId="0" xfId="8" applyNumberFormat="1" applyFont="1" applyFill="1" applyBorder="1"/>
    <xf numFmtId="168" fontId="52" fillId="0" borderId="0" xfId="8" applyNumberFormat="1" applyFont="1" applyFill="1"/>
    <xf numFmtId="168" fontId="52" fillId="0" borderId="0" xfId="8" applyNumberFormat="1" applyFont="1" applyFill="1" applyBorder="1"/>
    <xf numFmtId="3" fontId="53" fillId="11" borderId="0" xfId="8" applyNumberFormat="1" applyFont="1" applyFill="1" applyBorder="1" applyAlignment="1">
      <alignment horizontal="right"/>
    </xf>
    <xf numFmtId="3" fontId="53" fillId="0" borderId="0" xfId="8" applyNumberFormat="1" applyFont="1" applyFill="1" applyBorder="1" applyAlignment="1">
      <alignment horizontal="right"/>
    </xf>
    <xf numFmtId="167" fontId="54" fillId="0" borderId="0" xfId="29" applyFont="1" applyFill="1" applyAlignment="1">
      <alignment vertical="center"/>
    </xf>
    <xf numFmtId="167" fontId="9" fillId="0" borderId="0" xfId="29" applyFont="1" applyFill="1"/>
    <xf numFmtId="10" fontId="55" fillId="11" borderId="0" xfId="5" applyNumberFormat="1" applyFont="1" applyFill="1" applyBorder="1" applyAlignment="1">
      <alignment vertical="top"/>
    </xf>
    <xf numFmtId="10" fontId="55" fillId="0" borderId="0" xfId="5" applyNumberFormat="1" applyFont="1" applyFill="1" applyBorder="1" applyAlignment="1">
      <alignment vertical="top"/>
    </xf>
    <xf numFmtId="168" fontId="52" fillId="11" borderId="2" xfId="8" applyNumberFormat="1" applyFont="1" applyFill="1" applyBorder="1"/>
    <xf numFmtId="168" fontId="52" fillId="0" borderId="2" xfId="8" applyNumberFormat="1" applyFont="1" applyFill="1" applyBorder="1"/>
    <xf numFmtId="167" fontId="41" fillId="0" borderId="0" xfId="29" applyFont="1" applyFill="1"/>
    <xf numFmtId="10" fontId="56" fillId="11" borderId="0" xfId="5" applyNumberFormat="1" applyFont="1" applyFill="1" applyBorder="1" applyAlignment="1">
      <alignment vertical="top"/>
    </xf>
    <xf numFmtId="10" fontId="56" fillId="0" borderId="0" xfId="5" applyNumberFormat="1" applyFont="1" applyFill="1" applyBorder="1" applyAlignment="1">
      <alignment vertical="top"/>
    </xf>
    <xf numFmtId="172" fontId="57" fillId="11" borderId="0" xfId="16" applyNumberFormat="1" applyFont="1" applyFill="1" applyBorder="1"/>
    <xf numFmtId="172" fontId="58" fillId="0" borderId="0" xfId="16" applyNumberFormat="1" applyFont="1" applyFill="1"/>
    <xf numFmtId="10" fontId="59" fillId="11" borderId="0" xfId="5" applyNumberFormat="1" applyFont="1" applyFill="1" applyBorder="1" applyAlignment="1">
      <alignment vertical="top"/>
    </xf>
    <xf numFmtId="10" fontId="60" fillId="0" borderId="0" xfId="5" applyNumberFormat="1" applyFont="1" applyFill="1" applyAlignment="1">
      <alignment vertical="top"/>
    </xf>
    <xf numFmtId="10" fontId="60" fillId="11" borderId="0" xfId="5" applyNumberFormat="1" applyFont="1" applyFill="1" applyBorder="1" applyAlignment="1">
      <alignment vertical="top"/>
    </xf>
    <xf numFmtId="172" fontId="47" fillId="11" borderId="1" xfId="16" applyNumberFormat="1" applyFont="1" applyFill="1" applyBorder="1" applyAlignment="1"/>
    <xf numFmtId="172" fontId="47" fillId="0" borderId="1" xfId="16" applyNumberFormat="1" applyFont="1" applyFill="1" applyBorder="1" applyAlignment="1"/>
    <xf numFmtId="10" fontId="61" fillId="11" borderId="13" xfId="5" applyNumberFormat="1" applyFont="1" applyFill="1" applyBorder="1" applyAlignment="1">
      <alignment vertical="top"/>
    </xf>
    <xf numFmtId="10" fontId="61" fillId="0" borderId="13" xfId="5" applyNumberFormat="1" applyFont="1" applyFill="1" applyBorder="1" applyAlignment="1">
      <alignment vertical="top"/>
    </xf>
    <xf numFmtId="167" fontId="43" fillId="0" borderId="0" xfId="29" applyFont="1" applyFill="1"/>
    <xf numFmtId="167" fontId="32" fillId="12" borderId="11" xfId="29" applyFont="1" applyFill="1" applyBorder="1" applyAlignment="1">
      <alignment horizontal="center" vertical="center" wrapText="1"/>
    </xf>
    <xf numFmtId="167" fontId="35" fillId="12" borderId="0" xfId="29" applyFont="1" applyFill="1" applyBorder="1" applyAlignment="1">
      <alignment horizontal="center"/>
    </xf>
    <xf numFmtId="167" fontId="35" fillId="0" borderId="0" xfId="29" applyFont="1" applyFill="1" applyBorder="1" applyAlignment="1">
      <alignment horizontal="center"/>
    </xf>
    <xf numFmtId="167" fontId="36" fillId="0" borderId="0" xfId="29" applyFont="1" applyFill="1" applyAlignment="1">
      <alignment horizontal="center"/>
    </xf>
    <xf numFmtId="167" fontId="36" fillId="12" borderId="0" xfId="29" applyFont="1" applyFill="1" applyAlignment="1">
      <alignment horizontal="center"/>
    </xf>
    <xf numFmtId="172" fontId="36" fillId="12" borderId="0" xfId="16" applyNumberFormat="1" applyFont="1" applyFill="1"/>
    <xf numFmtId="168" fontId="36" fillId="12" borderId="0" xfId="8" applyNumberFormat="1" applyFont="1" applyFill="1" applyBorder="1"/>
    <xf numFmtId="168" fontId="37" fillId="12" borderId="0" xfId="8" applyNumberFormat="1" applyFont="1" applyFill="1" applyBorder="1"/>
    <xf numFmtId="168" fontId="36" fillId="12" borderId="2" xfId="8" applyNumberFormat="1" applyFont="1" applyFill="1" applyBorder="1"/>
    <xf numFmtId="172" fontId="36" fillId="12" borderId="0" xfId="8" applyNumberFormat="1" applyFont="1" applyFill="1"/>
    <xf numFmtId="44" fontId="36" fillId="12" borderId="0" xfId="29" applyNumberFormat="1" applyFont="1" applyFill="1"/>
    <xf numFmtId="44" fontId="36" fillId="13" borderId="0" xfId="29" applyNumberFormat="1" applyFont="1" applyFill="1"/>
    <xf numFmtId="172" fontId="36" fillId="13" borderId="0" xfId="16" applyNumberFormat="1" applyFont="1" applyFill="1" applyBorder="1"/>
    <xf numFmtId="168" fontId="36" fillId="13" borderId="0" xfId="8" applyNumberFormat="1" applyFont="1" applyFill="1" applyBorder="1"/>
    <xf numFmtId="168" fontId="37" fillId="13" borderId="0" xfId="8" applyNumberFormat="1" applyFont="1" applyFill="1" applyBorder="1"/>
    <xf numFmtId="168" fontId="36" fillId="13" borderId="0" xfId="8" applyNumberFormat="1" applyFont="1" applyFill="1" applyBorder="1" applyAlignment="1">
      <alignment vertical="top"/>
    </xf>
    <xf numFmtId="168" fontId="37" fillId="13" borderId="0" xfId="8" applyNumberFormat="1" applyFont="1" applyFill="1" applyBorder="1" applyAlignment="1">
      <alignment vertical="top"/>
    </xf>
    <xf numFmtId="168" fontId="36" fillId="13" borderId="2" xfId="8" applyNumberFormat="1" applyFont="1" applyFill="1" applyBorder="1"/>
    <xf numFmtId="172" fontId="36" fillId="13" borderId="0" xfId="16" applyNumberFormat="1" applyFont="1" applyFill="1"/>
    <xf numFmtId="168" fontId="36" fillId="12" borderId="0" xfId="8" applyNumberFormat="1" applyFont="1" applyFill="1"/>
    <xf numFmtId="172" fontId="36" fillId="12" borderId="0" xfId="29" applyNumberFormat="1" applyFont="1" applyFill="1"/>
    <xf numFmtId="172" fontId="32" fillId="12" borderId="12" xfId="16" applyNumberFormat="1" applyFont="1" applyFill="1" applyBorder="1" applyAlignment="1">
      <alignment vertical="center"/>
    </xf>
    <xf numFmtId="172" fontId="32" fillId="0" borderId="12" xfId="16" applyNumberFormat="1" applyFont="1" applyFill="1" applyBorder="1" applyAlignment="1">
      <alignment vertical="center"/>
    </xf>
    <xf numFmtId="44" fontId="32" fillId="12" borderId="0" xfId="16" applyNumberFormat="1" applyFont="1" applyFill="1" applyBorder="1"/>
    <xf numFmtId="167" fontId="32" fillId="14" borderId="11" xfId="29" applyFont="1" applyFill="1" applyBorder="1" applyAlignment="1">
      <alignment horizontal="center" vertical="center" wrapText="1"/>
    </xf>
    <xf numFmtId="167" fontId="63" fillId="0" borderId="0" xfId="29" applyFont="1" applyFill="1" applyBorder="1" applyAlignment="1">
      <alignment horizontal="center" vertical="center" wrapText="1"/>
    </xf>
    <xf numFmtId="167" fontId="9" fillId="0" borderId="0" xfId="29" applyFont="1"/>
    <xf numFmtId="167" fontId="32" fillId="14" borderId="0" xfId="29" applyFont="1" applyFill="1" applyBorder="1"/>
    <xf numFmtId="167" fontId="32" fillId="0" borderId="0" xfId="29" applyFont="1" applyFill="1" applyBorder="1"/>
    <xf numFmtId="167" fontId="63" fillId="0" borderId="0" xfId="29" applyFont="1" applyFill="1" applyBorder="1"/>
    <xf numFmtId="167" fontId="64" fillId="0" borderId="0" xfId="29" applyFont="1" applyFill="1" applyAlignment="1"/>
    <xf numFmtId="172" fontId="36" fillId="14" borderId="0" xfId="16" applyNumberFormat="1" applyFont="1" applyFill="1" applyBorder="1"/>
    <xf numFmtId="172" fontId="36" fillId="0" borderId="0" xfId="16" applyNumberFormat="1" applyFont="1" applyFill="1" applyBorder="1"/>
    <xf numFmtId="172" fontId="9" fillId="0" borderId="0" xfId="16" applyNumberFormat="1" applyFont="1" applyFill="1" applyBorder="1"/>
    <xf numFmtId="168" fontId="36" fillId="14" borderId="0" xfId="8" applyNumberFormat="1" applyFont="1" applyFill="1" applyBorder="1"/>
    <xf numFmtId="168" fontId="9" fillId="0" borderId="0" xfId="8" applyNumberFormat="1" applyFont="1" applyFill="1" applyBorder="1"/>
    <xf numFmtId="168" fontId="37" fillId="14" borderId="0" xfId="8" applyNumberFormat="1" applyFont="1" applyFill="1" applyBorder="1"/>
    <xf numFmtId="168" fontId="37" fillId="0" borderId="0" xfId="8" applyNumberFormat="1" applyFont="1" applyFill="1" applyBorder="1"/>
    <xf numFmtId="168" fontId="65" fillId="0" borderId="0" xfId="8" applyNumberFormat="1" applyFont="1" applyFill="1" applyBorder="1"/>
    <xf numFmtId="167" fontId="65" fillId="0" borderId="0" xfId="29" applyFont="1"/>
    <xf numFmtId="172" fontId="36" fillId="14" borderId="1" xfId="16" applyNumberFormat="1" applyFont="1" applyFill="1" applyBorder="1"/>
    <xf numFmtId="172" fontId="36" fillId="0" borderId="1" xfId="16" applyNumberFormat="1" applyFont="1" applyFill="1" applyBorder="1"/>
    <xf numFmtId="44" fontId="36" fillId="14" borderId="0" xfId="29" applyNumberFormat="1" applyFont="1" applyFill="1"/>
    <xf numFmtId="172" fontId="9" fillId="0" borderId="0" xfId="29" applyNumberFormat="1" applyFont="1" applyFill="1" applyBorder="1"/>
    <xf numFmtId="168" fontId="36" fillId="0" borderId="0" xfId="8" applyNumberFormat="1" applyFont="1" applyFill="1" applyBorder="1" applyAlignment="1">
      <alignment vertical="top"/>
    </xf>
    <xf numFmtId="168" fontId="36" fillId="14" borderId="0" xfId="8" applyNumberFormat="1" applyFont="1" applyFill="1" applyBorder="1" applyAlignment="1">
      <alignment vertical="top"/>
    </xf>
    <xf numFmtId="168" fontId="9" fillId="0" borderId="0" xfId="8" applyNumberFormat="1" applyFont="1" applyFill="1" applyBorder="1" applyAlignment="1">
      <alignment vertical="top"/>
    </xf>
    <xf numFmtId="167" fontId="9" fillId="0" borderId="0" xfId="29" applyFont="1" applyAlignment="1">
      <alignment vertical="top"/>
    </xf>
    <xf numFmtId="168" fontId="37" fillId="14" borderId="0" xfId="8" applyNumberFormat="1" applyFont="1" applyFill="1" applyBorder="1" applyAlignment="1">
      <alignment vertical="top"/>
    </xf>
    <xf numFmtId="168" fontId="37" fillId="0" borderId="0" xfId="8" applyNumberFormat="1" applyFont="1" applyFill="1" applyBorder="1" applyAlignment="1">
      <alignment vertical="top"/>
    </xf>
    <xf numFmtId="168" fontId="65" fillId="0" borderId="0" xfId="8" applyNumberFormat="1" applyFont="1" applyFill="1" applyBorder="1" applyAlignment="1">
      <alignment vertical="top"/>
    </xf>
    <xf numFmtId="167" fontId="65" fillId="0" borderId="0" xfId="29" applyFont="1" applyAlignment="1">
      <alignment vertical="top"/>
    </xf>
    <xf numFmtId="168" fontId="36" fillId="14" borderId="2" xfId="8" applyNumberFormat="1" applyFont="1" applyFill="1" applyBorder="1"/>
    <xf numFmtId="172" fontId="36" fillId="14" borderId="0" xfId="16" applyNumberFormat="1" applyFont="1" applyFill="1"/>
    <xf numFmtId="172" fontId="63" fillId="0" borderId="0" xfId="16" applyNumberFormat="1" applyFont="1" applyFill="1" applyBorder="1"/>
    <xf numFmtId="44" fontId="32" fillId="15" borderId="0" xfId="16" applyNumberFormat="1" applyFont="1" applyFill="1" applyBorder="1"/>
    <xf numFmtId="172" fontId="52" fillId="15" borderId="0" xfId="8" applyNumberFormat="1" applyFont="1" applyFill="1" applyBorder="1"/>
    <xf numFmtId="168" fontId="52" fillId="15" borderId="0" xfId="8" applyNumberFormat="1" applyFont="1" applyFill="1" applyBorder="1"/>
    <xf numFmtId="3" fontId="53" fillId="15" borderId="0" xfId="8" applyNumberFormat="1" applyFont="1" applyFill="1" applyBorder="1" applyAlignment="1">
      <alignment horizontal="right"/>
    </xf>
    <xf numFmtId="168" fontId="46" fillId="0" borderId="0" xfId="8" applyNumberFormat="1" applyFont="1" applyFill="1" applyBorder="1"/>
    <xf numFmtId="168" fontId="9" fillId="0" borderId="0" xfId="8" applyNumberFormat="1" applyFont="1" applyFill="1" applyBorder="1" applyAlignment="1"/>
    <xf numFmtId="167" fontId="9" fillId="0" borderId="0" xfId="29" applyFont="1" applyAlignment="1"/>
    <xf numFmtId="10" fontId="55" fillId="15" borderId="0" xfId="5" applyNumberFormat="1" applyFont="1" applyFill="1" applyBorder="1" applyAlignment="1">
      <alignment vertical="top"/>
    </xf>
    <xf numFmtId="168" fontId="52" fillId="15" borderId="2" xfId="8" applyNumberFormat="1" applyFont="1" applyFill="1" applyBorder="1"/>
    <xf numFmtId="10" fontId="56" fillId="15" borderId="0" xfId="5" applyNumberFormat="1" applyFont="1" applyFill="1" applyBorder="1" applyAlignment="1">
      <alignment vertical="top"/>
    </xf>
    <xf numFmtId="172" fontId="57" fillId="15" borderId="0" xfId="16" applyNumberFormat="1" applyFont="1" applyFill="1" applyBorder="1"/>
    <xf numFmtId="10" fontId="60" fillId="15" borderId="0" xfId="5" applyNumberFormat="1" applyFont="1" applyFill="1" applyBorder="1" applyAlignment="1">
      <alignment vertical="top"/>
    </xf>
    <xf numFmtId="167" fontId="63" fillId="16" borderId="0" xfId="29" applyFont="1" applyFill="1" applyBorder="1" applyAlignment="1">
      <alignment horizontal="center" vertical="center" wrapText="1"/>
    </xf>
    <xf numFmtId="172" fontId="68" fillId="15" borderId="1" xfId="16" applyNumberFormat="1" applyFont="1" applyFill="1" applyBorder="1" applyAlignment="1"/>
    <xf numFmtId="172" fontId="68" fillId="0" borderId="1" xfId="16" applyNumberFormat="1" applyFont="1" applyFill="1" applyBorder="1" applyAlignment="1"/>
    <xf numFmtId="167" fontId="9" fillId="16" borderId="0" xfId="29" applyFont="1" applyFill="1" applyBorder="1"/>
    <xf numFmtId="10" fontId="69" fillId="15" borderId="13" xfId="5" applyNumberFormat="1" applyFont="1" applyFill="1" applyBorder="1" applyAlignment="1">
      <alignment vertical="top"/>
    </xf>
    <xf numFmtId="10" fontId="69" fillId="0" borderId="13" xfId="5" applyNumberFormat="1" applyFont="1" applyFill="1" applyBorder="1" applyAlignment="1">
      <alignment vertical="top"/>
    </xf>
    <xf numFmtId="167" fontId="36" fillId="15" borderId="0" xfId="29" applyFont="1" applyFill="1"/>
    <xf numFmtId="10" fontId="48" fillId="0" borderId="0" xfId="5" applyNumberFormat="1" applyFont="1" applyFill="1" applyAlignment="1">
      <alignment horizontal="center"/>
    </xf>
    <xf numFmtId="10" fontId="70" fillId="0" borderId="0" xfId="5" applyNumberFormat="1" applyFont="1" applyFill="1" applyAlignment="1">
      <alignment horizontal="center"/>
    </xf>
    <xf numFmtId="10" fontId="36" fillId="0" borderId="0" xfId="5" applyNumberFormat="1" applyFont="1" applyFill="1" applyAlignment="1">
      <alignment horizontal="center"/>
    </xf>
    <xf numFmtId="166" fontId="36" fillId="0" borderId="0" xfId="5" applyNumberFormat="1" applyFont="1" applyFill="1" applyAlignment="1">
      <alignment horizontal="center"/>
    </xf>
    <xf numFmtId="44" fontId="36" fillId="0" borderId="0" xfId="16" applyFont="1" applyFill="1" applyAlignment="1">
      <alignment horizontal="center"/>
    </xf>
    <xf numFmtId="172" fontId="36" fillId="0" borderId="0" xfId="16" applyNumberFormat="1" applyFont="1" applyFill="1" applyAlignment="1">
      <alignment horizontal="center"/>
    </xf>
    <xf numFmtId="168" fontId="36" fillId="0" borderId="0" xfId="8" applyNumberFormat="1" applyFont="1" applyFill="1" applyAlignment="1">
      <alignment horizontal="center"/>
    </xf>
    <xf numFmtId="43" fontId="74" fillId="0" borderId="0" xfId="8" applyFont="1" applyFill="1" applyAlignment="1">
      <alignment horizontal="center"/>
    </xf>
    <xf numFmtId="172" fontId="52" fillId="0" borderId="0" xfId="16" applyNumberFormat="1" applyFont="1" applyFill="1" applyAlignment="1">
      <alignment horizontal="center"/>
    </xf>
    <xf numFmtId="168" fontId="48" fillId="0" borderId="0" xfId="8" applyNumberFormat="1" applyFont="1" applyFill="1" applyAlignment="1">
      <alignment horizontal="center"/>
    </xf>
    <xf numFmtId="168" fontId="48" fillId="0" borderId="0" xfId="8" applyNumberFormat="1" applyFont="1" applyFill="1" applyAlignment="1">
      <alignment horizontal="center" vertical="top"/>
    </xf>
    <xf numFmtId="9" fontId="71" fillId="0" borderId="0" xfId="5" applyFont="1" applyFill="1" applyAlignment="1">
      <alignment horizontal="center"/>
    </xf>
    <xf numFmtId="168" fontId="78" fillId="0" borderId="0" xfId="8" applyNumberFormat="1" applyFont="1" applyFill="1" applyAlignment="1">
      <alignment horizontal="center" vertical="top"/>
    </xf>
    <xf numFmtId="10" fontId="80" fillId="0" borderId="0" xfId="5" applyNumberFormat="1" applyFont="1" applyFill="1" applyAlignment="1">
      <alignment horizontal="center"/>
    </xf>
    <xf numFmtId="10" fontId="47" fillId="0" borderId="0" xfId="5" applyNumberFormat="1" applyFont="1" applyFill="1" applyAlignment="1">
      <alignment horizontal="center"/>
    </xf>
    <xf numFmtId="166" fontId="47" fillId="0" borderId="0" xfId="5" applyNumberFormat="1" applyFont="1" applyFill="1" applyAlignment="1">
      <alignment horizontal="center"/>
    </xf>
    <xf numFmtId="173" fontId="47" fillId="0" borderId="0" xfId="5" applyNumberFormat="1" applyFont="1" applyFill="1" applyAlignment="1">
      <alignment horizontal="center"/>
    </xf>
    <xf numFmtId="167" fontId="9" fillId="0" borderId="0" xfId="29" applyFont="1" applyFill="1" applyBorder="1"/>
    <xf numFmtId="10" fontId="36" fillId="0" borderId="0" xfId="5" applyNumberFormat="1" applyFont="1" applyFill="1" applyBorder="1" applyAlignment="1">
      <alignment horizontal="center"/>
    </xf>
    <xf numFmtId="10" fontId="48" fillId="0" borderId="0" xfId="5" applyNumberFormat="1" applyFont="1" applyFill="1" applyBorder="1" applyAlignment="1">
      <alignment horizontal="center"/>
    </xf>
    <xf numFmtId="43" fontId="34" fillId="0" borderId="0" xfId="8" applyFont="1" applyFill="1"/>
    <xf numFmtId="172" fontId="36" fillId="12" borderId="1" xfId="16" applyNumberFormat="1" applyFont="1" applyFill="1" applyBorder="1"/>
    <xf numFmtId="43" fontId="0" fillId="0" borderId="2" xfId="1" applyFont="1" applyBorder="1" applyAlignment="1">
      <alignment horizontal="center"/>
    </xf>
    <xf numFmtId="43" fontId="2" fillId="0" borderId="0" xfId="1" applyFont="1" applyBorder="1" applyAlignment="1">
      <alignment horizontal="right"/>
    </xf>
    <xf numFmtId="43" fontId="0" fillId="0" borderId="2" xfId="1" applyFont="1" applyBorder="1" applyAlignment="1">
      <alignment horizontal="left"/>
    </xf>
    <xf numFmtId="43" fontId="3" fillId="0" borderId="0" xfId="1" applyFont="1" applyAlignment="1">
      <alignment horizontal="left"/>
    </xf>
    <xf numFmtId="43" fontId="14" fillId="0" borderId="0" xfId="1" applyFont="1" applyFill="1" applyAlignment="1">
      <alignment horizontal="center"/>
    </xf>
    <xf numFmtId="43" fontId="15" fillId="0" borderId="0" xfId="1" applyFont="1"/>
    <xf numFmtId="43" fontId="14" fillId="4" borderId="0" xfId="1" applyFont="1" applyFill="1" applyAlignment="1">
      <alignment horizontal="center"/>
    </xf>
    <xf numFmtId="43" fontId="0" fillId="0" borderId="0" xfId="1" applyFont="1" applyFill="1" applyBorder="1" applyAlignment="1">
      <alignment horizontal="left"/>
    </xf>
    <xf numFmtId="43" fontId="0" fillId="0" borderId="0" xfId="1" applyFont="1" applyAlignment="1">
      <alignment horizontal="right" vertical="top"/>
    </xf>
    <xf numFmtId="43" fontId="0" fillId="0" borderId="0" xfId="1" applyFont="1" applyBorder="1" applyAlignment="1">
      <alignment horizontal="left" vertical="top"/>
    </xf>
    <xf numFmtId="43" fontId="0" fillId="0" borderId="0" xfId="1" applyFont="1" applyBorder="1" applyAlignment="1">
      <alignment vertical="top" wrapText="1"/>
    </xf>
    <xf numFmtId="43" fontId="6" fillId="0" borderId="1" xfId="1" applyFont="1" applyBorder="1" applyAlignment="1">
      <alignment horizontal="center"/>
    </xf>
    <xf numFmtId="43" fontId="2" fillId="0" borderId="3" xfId="1" applyFont="1" applyBorder="1" applyAlignment="1">
      <alignment horizontal="right"/>
    </xf>
    <xf numFmtId="43" fontId="6" fillId="0" borderId="3" xfId="1" applyFont="1" applyBorder="1"/>
    <xf numFmtId="43" fontId="6" fillId="0" borderId="3" xfId="1" applyFont="1" applyBorder="1" applyAlignment="1">
      <alignment horizontal="center"/>
    </xf>
    <xf numFmtId="43" fontId="0" fillId="0" borderId="3" xfId="1" applyFont="1" applyBorder="1" applyAlignment="1">
      <alignment horizontal="left"/>
    </xf>
    <xf numFmtId="43" fontId="0" fillId="0" borderId="3" xfId="1" applyFont="1" applyFill="1" applyBorder="1"/>
    <xf numFmtId="43" fontId="2" fillId="0" borderId="3" xfId="1" applyFont="1" applyBorder="1" applyAlignment="1">
      <alignment horizontal="left"/>
    </xf>
    <xf numFmtId="43" fontId="2" fillId="0" borderId="0" xfId="1" applyFont="1" applyAlignment="1">
      <alignment horizontal="right" wrapText="1"/>
    </xf>
    <xf numFmtId="43" fontId="0" fillId="0" borderId="0" xfId="1" applyFont="1" applyFill="1" applyAlignment="1">
      <alignment horizontal="center"/>
    </xf>
    <xf numFmtId="43" fontId="2" fillId="0" borderId="0" xfId="1" applyFont="1" applyFill="1" applyAlignment="1">
      <alignment horizontal="right" wrapText="1"/>
    </xf>
    <xf numFmtId="43" fontId="17" fillId="0" borderId="0" xfId="1" applyFont="1" applyFill="1" applyBorder="1" applyAlignment="1">
      <alignment horizontal="left"/>
    </xf>
    <xf numFmtId="43" fontId="5" fillId="0" borderId="0" xfId="1" applyFont="1"/>
    <xf numFmtId="43" fontId="5" fillId="0" borderId="0" xfId="1" applyFont="1" applyBorder="1"/>
    <xf numFmtId="43" fontId="36" fillId="0" borderId="0" xfId="8" applyFont="1" applyFill="1"/>
    <xf numFmtId="10" fontId="32" fillId="0" borderId="0" xfId="5" applyNumberFormat="1" applyFont="1" applyFill="1" applyAlignment="1">
      <alignment horizontal="center"/>
    </xf>
    <xf numFmtId="172" fontId="73" fillId="0" borderId="0" xfId="16" applyNumberFormat="1" applyFont="1" applyFill="1" applyAlignment="1">
      <alignment horizontal="center"/>
    </xf>
    <xf numFmtId="172" fontId="42" fillId="0" borderId="0" xfId="16" applyNumberFormat="1" applyFont="1" applyFill="1" applyAlignment="1">
      <alignment horizontal="center"/>
    </xf>
    <xf numFmtId="172" fontId="9" fillId="0" borderId="0" xfId="16" applyNumberFormat="1" applyFont="1" applyFill="1" applyBorder="1" applyAlignment="1">
      <alignment horizontal="center"/>
    </xf>
    <xf numFmtId="44" fontId="9" fillId="0" borderId="0" xfId="16" applyFont="1" applyFill="1" applyBorder="1" applyAlignment="1">
      <alignment horizontal="center"/>
    </xf>
    <xf numFmtId="172" fontId="74" fillId="0" borderId="0" xfId="16" applyNumberFormat="1" applyFont="1" applyFill="1" applyAlignment="1">
      <alignment horizontal="center"/>
    </xf>
    <xf numFmtId="172" fontId="75" fillId="0" borderId="0" xfId="16" quotePrefix="1" applyNumberFormat="1" applyFont="1" applyFill="1" applyBorder="1" applyAlignment="1">
      <alignment horizontal="center"/>
    </xf>
    <xf numFmtId="172" fontId="63" fillId="0" borderId="0" xfId="16" applyNumberFormat="1" applyFont="1" applyFill="1" applyBorder="1" applyAlignment="1">
      <alignment horizontal="center"/>
    </xf>
    <xf numFmtId="167" fontId="63" fillId="0" borderId="0" xfId="29" applyFont="1" applyFill="1"/>
    <xf numFmtId="168" fontId="9" fillId="0" borderId="0" xfId="8" applyNumberFormat="1" applyFont="1" applyFill="1" applyBorder="1" applyAlignment="1">
      <alignment horizontal="center"/>
    </xf>
    <xf numFmtId="167" fontId="9" fillId="0" borderId="0" xfId="29" applyFont="1" applyFill="1" applyBorder="1" applyAlignment="1"/>
    <xf numFmtId="167" fontId="9" fillId="0" borderId="0" xfId="29" applyFont="1" applyFill="1" applyAlignment="1"/>
    <xf numFmtId="167" fontId="9" fillId="0" borderId="0" xfId="29" applyFont="1" applyFill="1" applyBorder="1" applyAlignment="1">
      <alignment vertical="top"/>
    </xf>
    <xf numFmtId="167" fontId="9" fillId="0" borderId="0" xfId="29" applyFont="1" applyFill="1" applyAlignment="1">
      <alignment vertical="top"/>
    </xf>
    <xf numFmtId="9" fontId="77" fillId="0" borderId="0" xfId="5" applyFont="1" applyFill="1" applyAlignment="1">
      <alignment horizontal="center"/>
    </xf>
    <xf numFmtId="10" fontId="79" fillId="0" borderId="0" xfId="5" applyNumberFormat="1" applyFont="1" applyFill="1" applyAlignment="1">
      <alignment horizontal="center"/>
    </xf>
    <xf numFmtId="169" fontId="47" fillId="0" borderId="0" xfId="5" applyNumberFormat="1" applyFont="1" applyFill="1" applyAlignment="1">
      <alignment horizontal="center"/>
    </xf>
    <xf numFmtId="166" fontId="48" fillId="0" borderId="0" xfId="5" applyNumberFormat="1" applyFont="1" applyFill="1" applyAlignment="1">
      <alignment horizontal="center"/>
    </xf>
    <xf numFmtId="14" fontId="2" fillId="5" borderId="0" xfId="1" applyNumberFormat="1" applyFont="1" applyFill="1" applyAlignment="1">
      <alignment horizontal="left"/>
    </xf>
    <xf numFmtId="43" fontId="1" fillId="0" borderId="0" xfId="1" applyFont="1"/>
    <xf numFmtId="43" fontId="0" fillId="0" borderId="4" xfId="1" applyFont="1" applyBorder="1"/>
    <xf numFmtId="43" fontId="7" fillId="0" borderId="1" xfId="1" applyFont="1" applyBorder="1"/>
    <xf numFmtId="43" fontId="14" fillId="3" borderId="0" xfId="1" applyFont="1" applyFill="1" applyAlignment="1">
      <alignment horizontal="right"/>
    </xf>
    <xf numFmtId="43" fontId="14" fillId="0" borderId="0" xfId="1" applyFont="1" applyFill="1" applyBorder="1" applyAlignment="1">
      <alignment horizontal="center"/>
    </xf>
    <xf numFmtId="43" fontId="15" fillId="0" borderId="0" xfId="1" applyFont="1" applyAlignment="1">
      <alignment horizontal="right"/>
    </xf>
    <xf numFmtId="43" fontId="15" fillId="0" borderId="4" xfId="1" applyFont="1" applyBorder="1" applyAlignment="1">
      <alignment horizontal="right"/>
    </xf>
    <xf numFmtId="43" fontId="18" fillId="0" borderId="0" xfId="1" applyFont="1"/>
    <xf numFmtId="43" fontId="2" fillId="0" borderId="4" xfId="1" applyFont="1" applyBorder="1"/>
    <xf numFmtId="43" fontId="24" fillId="0" borderId="0" xfId="1" applyFont="1" applyFill="1"/>
    <xf numFmtId="43" fontId="24" fillId="0" borderId="4" xfId="1" applyFont="1" applyBorder="1"/>
    <xf numFmtId="43" fontId="2" fillId="0" borderId="0" xfId="1" applyFont="1" applyBorder="1" applyAlignment="1">
      <alignment wrapText="1"/>
    </xf>
    <xf numFmtId="49" fontId="0" fillId="0" borderId="0" xfId="1" applyNumberFormat="1" applyFont="1"/>
    <xf numFmtId="49" fontId="2" fillId="0" borderId="0" xfId="1" applyNumberFormat="1" applyFont="1"/>
    <xf numFmtId="49" fontId="2" fillId="0" borderId="0" xfId="1" applyNumberFormat="1" applyFont="1" applyBorder="1"/>
    <xf numFmtId="49" fontId="0" fillId="0" borderId="0" xfId="1" applyNumberFormat="1" applyFont="1" applyBorder="1"/>
    <xf numFmtId="49" fontId="11" fillId="0" borderId="0" xfId="0" applyNumberFormat="1" applyFont="1" applyBorder="1"/>
    <xf numFmtId="49" fontId="11" fillId="0" borderId="0" xfId="0" applyNumberFormat="1" applyFont="1" applyBorder="1" applyAlignment="1">
      <alignment horizontal="left"/>
    </xf>
    <xf numFmtId="49" fontId="0" fillId="0" borderId="0" xfId="0" applyNumberFormat="1" applyFont="1"/>
    <xf numFmtId="49" fontId="15" fillId="0" borderId="0" xfId="0" applyNumberFormat="1" applyFont="1"/>
    <xf numFmtId="49" fontId="2" fillId="0" borderId="0" xfId="0" applyNumberFormat="1" applyFont="1"/>
    <xf numFmtId="49" fontId="2" fillId="0" borderId="0" xfId="0" applyNumberFormat="1" applyFont="1" applyBorder="1"/>
    <xf numFmtId="49" fontId="0" fillId="0" borderId="0" xfId="0" applyNumberFormat="1" applyFont="1" applyAlignment="1">
      <alignment horizontal="left"/>
    </xf>
    <xf numFmtId="49" fontId="0" fillId="0" borderId="0" xfId="0" applyNumberFormat="1" applyFont="1" applyBorder="1"/>
    <xf numFmtId="49" fontId="26" fillId="0" borderId="0" xfId="2" applyNumberFormat="1" applyFont="1" applyAlignment="1">
      <alignment horizontal="right"/>
    </xf>
    <xf numFmtId="49" fontId="24" fillId="0" borderId="0" xfId="0" applyNumberFormat="1" applyFont="1" applyAlignment="1">
      <alignment horizontal="right"/>
    </xf>
    <xf numFmtId="49" fontId="2" fillId="0" borderId="0" xfId="0" applyNumberFormat="1" applyFont="1" applyBorder="1" applyAlignment="1">
      <alignment wrapText="1"/>
    </xf>
    <xf numFmtId="43" fontId="0" fillId="5" borderId="0" xfId="1" applyFont="1" applyFill="1"/>
    <xf numFmtId="49" fontId="19" fillId="0" borderId="0" xfId="1" applyNumberFormat="1" applyFont="1" applyFill="1" applyBorder="1" applyAlignment="1">
      <alignment horizontal="left"/>
    </xf>
    <xf numFmtId="49" fontId="5" fillId="0" borderId="0" xfId="1" applyNumberFormat="1" applyFont="1" applyBorder="1" applyAlignment="1">
      <alignment horizontal="left"/>
    </xf>
    <xf numFmtId="49" fontId="24" fillId="0" borderId="0" xfId="1" applyNumberFormat="1" applyFont="1"/>
    <xf numFmtId="49" fontId="6" fillId="0" borderId="0" xfId="0" applyNumberFormat="1" applyFont="1" applyBorder="1" applyAlignment="1">
      <alignment horizontal="left"/>
    </xf>
    <xf numFmtId="49" fontId="6" fillId="0" borderId="0" xfId="0" applyNumberFormat="1" applyFont="1"/>
    <xf numFmtId="49" fontId="14" fillId="4" borderId="0" xfId="0" applyNumberFormat="1" applyFont="1" applyFill="1" applyAlignment="1">
      <alignment horizontal="center"/>
    </xf>
    <xf numFmtId="49" fontId="18" fillId="0" borderId="0" xfId="0" applyNumberFormat="1" applyFont="1"/>
    <xf numFmtId="49" fontId="0" fillId="0" borderId="0" xfId="2" applyNumberFormat="1" applyFont="1" applyBorder="1"/>
    <xf numFmtId="49" fontId="24" fillId="0" borderId="0" xfId="0" applyNumberFormat="1" applyFont="1"/>
    <xf numFmtId="49" fontId="24" fillId="0" borderId="0" xfId="0" applyNumberFormat="1" applyFont="1" applyBorder="1"/>
    <xf numFmtId="49" fontId="2" fillId="0" borderId="0" xfId="1" applyNumberFormat="1" applyFont="1" applyBorder="1" applyAlignment="1">
      <alignment horizontal="center"/>
    </xf>
    <xf numFmtId="49" fontId="24" fillId="0" borderId="0" xfId="1" applyNumberFormat="1" applyFont="1" applyBorder="1" applyAlignment="1">
      <alignment horizontal="center"/>
    </xf>
    <xf numFmtId="49" fontId="6" fillId="0" borderId="0" xfId="0" applyNumberFormat="1" applyFont="1" applyBorder="1"/>
    <xf numFmtId="49" fontId="14" fillId="3" borderId="0" xfId="0" applyNumberFormat="1" applyFont="1" applyFill="1" applyAlignment="1"/>
    <xf numFmtId="49" fontId="26" fillId="0" borderId="0" xfId="0" applyNumberFormat="1" applyFont="1" applyAlignment="1">
      <alignment horizontal="left"/>
    </xf>
    <xf numFmtId="49" fontId="14" fillId="2" borderId="0" xfId="0" applyNumberFormat="1" applyFont="1" applyFill="1" applyAlignment="1">
      <alignment horizontal="right"/>
    </xf>
    <xf numFmtId="49" fontId="7" fillId="0" borderId="0" xfId="0" applyNumberFormat="1" applyFont="1" applyAlignment="1">
      <alignment horizontal="left"/>
    </xf>
    <xf numFmtId="49" fontId="6" fillId="0" borderId="0" xfId="0" applyNumberFormat="1" applyFont="1" applyAlignment="1">
      <alignment horizontal="left"/>
    </xf>
    <xf numFmtId="49" fontId="7" fillId="0" borderId="0" xfId="0" applyNumberFormat="1" applyFont="1" applyBorder="1" applyAlignment="1">
      <alignment horizontal="left"/>
    </xf>
    <xf numFmtId="9" fontId="6" fillId="0" borderId="0" xfId="2" applyFont="1" applyAlignment="1">
      <alignment horizontal="left"/>
    </xf>
    <xf numFmtId="10" fontId="6" fillId="0" borderId="0" xfId="2" applyNumberFormat="1" applyFont="1" applyBorder="1" applyAlignment="1">
      <alignment horizontal="left"/>
    </xf>
    <xf numFmtId="10" fontId="6" fillId="0" borderId="0" xfId="2" applyNumberFormat="1" applyFont="1"/>
    <xf numFmtId="10" fontId="14" fillId="3" borderId="0" xfId="2" applyNumberFormat="1" applyFont="1" applyFill="1" applyAlignment="1">
      <alignment horizontal="right"/>
    </xf>
    <xf numFmtId="10" fontId="2" fillId="0" borderId="0" xfId="2" applyNumberFormat="1" applyFont="1" applyAlignment="1">
      <alignment horizontal="right"/>
    </xf>
    <xf numFmtId="10" fontId="2" fillId="0" borderId="0" xfId="2" applyNumberFormat="1" applyFont="1" applyBorder="1" applyAlignment="1">
      <alignment horizontal="right"/>
    </xf>
    <xf numFmtId="10" fontId="0" fillId="0" borderId="0" xfId="2" applyNumberFormat="1" applyFont="1" applyBorder="1" applyAlignment="1">
      <alignment horizontal="right"/>
    </xf>
    <xf numFmtId="10" fontId="24" fillId="0" borderId="0" xfId="2" applyNumberFormat="1" applyFont="1" applyAlignment="1">
      <alignment horizontal="right"/>
    </xf>
    <xf numFmtId="10" fontId="2" fillId="0" borderId="0" xfId="2" applyNumberFormat="1" applyFont="1" applyBorder="1" applyAlignment="1">
      <alignment wrapText="1"/>
    </xf>
    <xf numFmtId="10" fontId="0" fillId="0" borderId="0" xfId="2" applyNumberFormat="1" applyFont="1"/>
    <xf numFmtId="10" fontId="14" fillId="2" borderId="0" xfId="2" applyNumberFormat="1" applyFont="1" applyFill="1" applyAlignment="1"/>
    <xf numFmtId="10" fontId="2" fillId="0" borderId="0" xfId="2" applyNumberFormat="1" applyFont="1"/>
    <xf numFmtId="10" fontId="2" fillId="0" borderId="0" xfId="2" applyNumberFormat="1" applyFont="1" applyBorder="1"/>
    <xf numFmtId="10" fontId="14" fillId="2" borderId="0" xfId="2" applyNumberFormat="1" applyFont="1" applyFill="1" applyAlignment="1">
      <alignment horizontal="right"/>
    </xf>
    <xf numFmtId="10" fontId="0" fillId="0" borderId="0" xfId="2" applyNumberFormat="1" applyFont="1" applyBorder="1"/>
    <xf numFmtId="43" fontId="27" fillId="0" borderId="0" xfId="1" applyFont="1" applyFill="1"/>
    <xf numFmtId="43" fontId="27" fillId="0" borderId="0" xfId="1" applyFont="1" applyAlignment="1">
      <alignment horizontal="center"/>
    </xf>
    <xf numFmtId="43" fontId="27" fillId="0" borderId="0" xfId="1" applyFont="1" applyFill="1" applyBorder="1" applyAlignment="1">
      <alignment horizontal="center"/>
    </xf>
    <xf numFmtId="43" fontId="27" fillId="0" borderId="4" xfId="1" applyFont="1" applyBorder="1"/>
    <xf numFmtId="43" fontId="81" fillId="0" borderId="0" xfId="1" applyFont="1" applyAlignment="1">
      <alignment horizontal="right"/>
    </xf>
    <xf numFmtId="43" fontId="26" fillId="0" borderId="0" xfId="1" applyFont="1" applyBorder="1" applyAlignment="1">
      <alignment horizontal="right"/>
    </xf>
    <xf numFmtId="43" fontId="22" fillId="0" borderId="0" xfId="1" applyFont="1" applyFill="1"/>
    <xf numFmtId="43" fontId="22" fillId="0" borderId="0" xfId="1" applyFont="1"/>
    <xf numFmtId="10" fontId="82" fillId="0" borderId="0" xfId="2" applyNumberFormat="1" applyFont="1" applyAlignment="1">
      <alignment horizontal="right"/>
    </xf>
    <xf numFmtId="43" fontId="22" fillId="0" borderId="0" xfId="1" applyFont="1" applyAlignment="1">
      <alignment horizontal="center"/>
    </xf>
    <xf numFmtId="43" fontId="22" fillId="0" borderId="0" xfId="1" applyFont="1" applyFill="1" applyBorder="1" applyAlignment="1">
      <alignment horizontal="center"/>
    </xf>
    <xf numFmtId="43" fontId="22" fillId="0" borderId="4" xfId="1" applyFont="1" applyBorder="1"/>
    <xf numFmtId="43" fontId="82" fillId="0" borderId="0" xfId="1" applyFont="1" applyAlignment="1">
      <alignment horizontal="right"/>
    </xf>
    <xf numFmtId="168" fontId="37" fillId="11" borderId="0" xfId="1" applyNumberFormat="1" applyFont="1" applyFill="1" applyBorder="1"/>
    <xf numFmtId="43" fontId="14" fillId="4" borderId="0" xfId="1" applyFont="1" applyFill="1" applyAlignment="1"/>
    <xf numFmtId="167" fontId="1" fillId="3" borderId="14" xfId="30" applyFont="1" applyFill="1" applyBorder="1"/>
    <xf numFmtId="167" fontId="1" fillId="3" borderId="15" xfId="30" applyFont="1" applyFill="1" applyBorder="1"/>
    <xf numFmtId="167" fontId="1" fillId="3" borderId="0" xfId="30" applyFont="1" applyFill="1"/>
    <xf numFmtId="167" fontId="2" fillId="3" borderId="0" xfId="30" applyFont="1" applyFill="1" applyAlignment="1">
      <alignment horizontal="right"/>
    </xf>
    <xf numFmtId="167" fontId="2" fillId="0" borderId="0" xfId="30" applyFont="1" applyBorder="1"/>
    <xf numFmtId="167" fontId="2" fillId="0" borderId="0" xfId="30" applyFont="1" applyBorder="1" applyAlignment="1">
      <alignment horizontal="right"/>
    </xf>
    <xf numFmtId="10" fontId="2" fillId="10" borderId="0" xfId="9" applyNumberFormat="1" applyFont="1" applyFill="1" applyBorder="1" applyAlignment="1">
      <alignment horizontal="center"/>
    </xf>
    <xf numFmtId="167" fontId="2" fillId="0" borderId="16" xfId="30" applyFont="1" applyBorder="1"/>
    <xf numFmtId="167" fontId="2" fillId="0" borderId="0" xfId="30" applyFont="1"/>
    <xf numFmtId="167" fontId="2" fillId="0" borderId="0" xfId="30" applyFont="1" applyAlignment="1">
      <alignment horizontal="right"/>
    </xf>
    <xf numFmtId="167" fontId="1" fillId="0" borderId="0" xfId="30" applyFont="1"/>
    <xf numFmtId="167" fontId="3" fillId="0" borderId="0" xfId="30" applyFont="1" applyBorder="1" applyAlignment="1">
      <alignment horizontal="right"/>
    </xf>
    <xf numFmtId="167" fontId="3" fillId="0" borderId="16" xfId="30" applyFont="1" applyBorder="1" applyAlignment="1">
      <alignment horizontal="right"/>
    </xf>
    <xf numFmtId="167" fontId="3" fillId="0" borderId="0" xfId="30" applyFont="1" applyAlignment="1">
      <alignment horizontal="right"/>
    </xf>
    <xf numFmtId="167" fontId="11" fillId="0" borderId="0" xfId="30" applyFont="1" applyAlignment="1">
      <alignment horizontal="right"/>
    </xf>
    <xf numFmtId="43" fontId="22" fillId="0" borderId="0" xfId="13" applyFont="1" applyBorder="1"/>
    <xf numFmtId="43" fontId="22" fillId="0" borderId="16" xfId="13" applyFont="1" applyBorder="1"/>
    <xf numFmtId="167" fontId="1" fillId="0" borderId="0" xfId="30" applyFont="1" applyAlignment="1">
      <alignment horizontal="right"/>
    </xf>
    <xf numFmtId="43" fontId="1" fillId="0" borderId="0" xfId="30" applyNumberFormat="1" applyFont="1"/>
    <xf numFmtId="43" fontId="1" fillId="0" borderId="0" xfId="30" applyNumberFormat="1" applyFont="1" applyAlignment="1">
      <alignment horizontal="center"/>
    </xf>
    <xf numFmtId="169" fontId="1" fillId="0" borderId="0" xfId="30" applyNumberFormat="1" applyFont="1" applyAlignment="1">
      <alignment horizontal="right"/>
    </xf>
    <xf numFmtId="10" fontId="1" fillId="0" borderId="0" xfId="30" applyNumberFormat="1" applyFont="1" applyAlignment="1">
      <alignment horizontal="right"/>
    </xf>
    <xf numFmtId="10" fontId="1" fillId="0" borderId="0" xfId="9" applyNumberFormat="1" applyFont="1"/>
    <xf numFmtId="10" fontId="22" fillId="10" borderId="0" xfId="9" applyNumberFormat="1" applyFont="1" applyFill="1" applyBorder="1"/>
    <xf numFmtId="10" fontId="22" fillId="10" borderId="16" xfId="9" applyNumberFormat="1" applyFont="1" applyFill="1" applyBorder="1"/>
    <xf numFmtId="166" fontId="1" fillId="0" borderId="0" xfId="9" applyNumberFormat="1" applyFont="1"/>
    <xf numFmtId="167" fontId="2" fillId="0" borderId="0" xfId="30" applyFont="1" applyBorder="1" applyAlignment="1">
      <alignment horizontal="center" wrapText="1"/>
    </xf>
    <xf numFmtId="43" fontId="22" fillId="0" borderId="0" xfId="13" applyFont="1" applyBorder="1" applyAlignment="1">
      <alignment horizontal="center"/>
    </xf>
    <xf numFmtId="173" fontId="22" fillId="0" borderId="0" xfId="9" applyNumberFormat="1" applyFont="1" applyBorder="1"/>
    <xf numFmtId="173" fontId="22" fillId="0" borderId="16" xfId="9" applyNumberFormat="1" applyFont="1" applyBorder="1"/>
    <xf numFmtId="166" fontId="11" fillId="0" borderId="0" xfId="9" applyNumberFormat="1" applyFont="1"/>
    <xf numFmtId="43" fontId="11" fillId="0" borderId="0" xfId="30" applyNumberFormat="1" applyFont="1"/>
    <xf numFmtId="167" fontId="1" fillId="0" borderId="0" xfId="30" applyFont="1" applyBorder="1" applyAlignment="1">
      <alignment horizontal="center"/>
    </xf>
    <xf numFmtId="43" fontId="1" fillId="0" borderId="0" xfId="30" applyNumberFormat="1" applyFont="1" applyBorder="1"/>
    <xf numFmtId="43" fontId="1" fillId="0" borderId="16" xfId="30" applyNumberFormat="1" applyFont="1" applyBorder="1"/>
    <xf numFmtId="169" fontId="1" fillId="0" borderId="0" xfId="30" applyNumberFormat="1" applyFont="1"/>
    <xf numFmtId="167" fontId="1" fillId="0" borderId="0" xfId="30" applyFont="1" applyBorder="1"/>
    <xf numFmtId="167" fontId="1" fillId="0" borderId="16" xfId="30" applyFont="1" applyBorder="1"/>
    <xf numFmtId="43" fontId="1" fillId="17" borderId="16" xfId="30" applyNumberFormat="1" applyFont="1" applyFill="1" applyBorder="1"/>
    <xf numFmtId="167" fontId="1" fillId="0" borderId="0" xfId="30" applyFont="1" applyAlignment="1">
      <alignment horizontal="center"/>
    </xf>
    <xf numFmtId="167" fontId="1" fillId="7" borderId="0" xfId="30" applyFont="1" applyFill="1"/>
    <xf numFmtId="10" fontId="22" fillId="0" borderId="0" xfId="9" applyNumberFormat="1" applyFont="1"/>
    <xf numFmtId="167" fontId="1" fillId="3" borderId="0" xfId="30" applyFont="1" applyFill="1" applyBorder="1"/>
    <xf numFmtId="167" fontId="1" fillId="3" borderId="16" xfId="30" applyFont="1" applyFill="1" applyBorder="1"/>
    <xf numFmtId="166" fontId="1" fillId="0" borderId="0" xfId="30" applyNumberFormat="1" applyFont="1" applyAlignment="1">
      <alignment horizontal="right"/>
    </xf>
    <xf numFmtId="169" fontId="22" fillId="10" borderId="0" xfId="9" applyNumberFormat="1" applyFont="1" applyFill="1" applyBorder="1"/>
    <xf numFmtId="166" fontId="22" fillId="10" borderId="0" xfId="9" applyNumberFormat="1" applyFont="1" applyFill="1" applyBorder="1"/>
    <xf numFmtId="166" fontId="22" fillId="10" borderId="16" xfId="9" applyNumberFormat="1" applyFont="1" applyFill="1" applyBorder="1"/>
    <xf numFmtId="43" fontId="1" fillId="6" borderId="16" xfId="30" applyNumberFormat="1" applyFont="1" applyFill="1" applyBorder="1"/>
    <xf numFmtId="167" fontId="1" fillId="0" borderId="17" xfId="30" applyFont="1" applyBorder="1"/>
    <xf numFmtId="43" fontId="1" fillId="6" borderId="18" xfId="30" applyNumberFormat="1" applyFont="1" applyFill="1" applyBorder="1"/>
    <xf numFmtId="167" fontId="2" fillId="3" borderId="0" xfId="30" applyFont="1" applyFill="1" applyAlignment="1">
      <alignment horizontal="left"/>
    </xf>
    <xf numFmtId="167" fontId="2" fillId="3" borderId="0" xfId="30" applyFont="1" applyFill="1"/>
    <xf numFmtId="43" fontId="22" fillId="0" borderId="0" xfId="13" applyFont="1"/>
    <xf numFmtId="9" fontId="1" fillId="10" borderId="0" xfId="30" applyNumberFormat="1" applyFont="1" applyFill="1"/>
    <xf numFmtId="9" fontId="1" fillId="0" borderId="0" xfId="30" applyNumberFormat="1" applyFont="1"/>
    <xf numFmtId="172" fontId="2" fillId="9" borderId="0" xfId="18" applyNumberFormat="1" applyFont="1" applyFill="1" applyAlignment="1">
      <alignment horizontal="right"/>
    </xf>
    <xf numFmtId="172" fontId="2" fillId="9" borderId="0" xfId="18" applyNumberFormat="1" applyFont="1" applyFill="1"/>
    <xf numFmtId="172" fontId="22" fillId="9" borderId="0" xfId="18" applyNumberFormat="1" applyFont="1" applyFill="1"/>
    <xf numFmtId="170" fontId="2" fillId="9" borderId="0" xfId="18" applyNumberFormat="1" applyFont="1" applyFill="1"/>
    <xf numFmtId="170" fontId="2" fillId="9" borderId="0" xfId="18" applyNumberFormat="1" applyFont="1" applyFill="1" applyAlignment="1">
      <alignment horizontal="right"/>
    </xf>
    <xf numFmtId="167" fontId="83" fillId="0" borderId="0" xfId="31" applyFont="1"/>
    <xf numFmtId="172" fontId="83" fillId="0" borderId="0" xfId="32" applyNumberFormat="1" applyFont="1"/>
    <xf numFmtId="174" fontId="83" fillId="0" borderId="0" xfId="33" applyNumberFormat="1" applyFont="1"/>
    <xf numFmtId="172" fontId="84" fillId="0" borderId="12" xfId="32" applyNumberFormat="1" applyFont="1" applyBorder="1"/>
    <xf numFmtId="172" fontId="83" fillId="0" borderId="19" xfId="32" applyNumberFormat="1" applyFont="1" applyBorder="1"/>
    <xf numFmtId="172" fontId="84" fillId="0" borderId="0" xfId="31" applyNumberFormat="1" applyFont="1"/>
    <xf numFmtId="172" fontId="84" fillId="0" borderId="20" xfId="32" applyNumberFormat="1" applyFont="1" applyBorder="1"/>
    <xf numFmtId="172" fontId="84" fillId="0" borderId="0" xfId="32" applyNumberFormat="1" applyFont="1"/>
    <xf numFmtId="172" fontId="83" fillId="0" borderId="2" xfId="31" applyNumberFormat="1" applyFont="1" applyFill="1" applyBorder="1"/>
    <xf numFmtId="172" fontId="83" fillId="10" borderId="21" xfId="32" applyNumberFormat="1" applyFont="1" applyFill="1" applyBorder="1"/>
    <xf numFmtId="172" fontId="83" fillId="10" borderId="2" xfId="32" applyNumberFormat="1" applyFont="1" applyFill="1" applyBorder="1"/>
    <xf numFmtId="167" fontId="85" fillId="0" borderId="0" xfId="31" applyFont="1" applyAlignment="1">
      <alignment horizontal="left" indent="1"/>
    </xf>
    <xf numFmtId="172" fontId="83" fillId="0" borderId="0" xfId="31" applyNumberFormat="1" applyFont="1" applyFill="1" applyBorder="1"/>
    <xf numFmtId="172" fontId="83" fillId="10" borderId="23" xfId="32" applyNumberFormat="1" applyFont="1" applyFill="1" applyBorder="1"/>
    <xf numFmtId="172" fontId="83" fillId="10" borderId="0" xfId="32" applyNumberFormat="1" applyFont="1" applyFill="1" applyBorder="1"/>
    <xf numFmtId="167" fontId="83" fillId="4" borderId="0" xfId="31" applyFont="1" applyFill="1"/>
    <xf numFmtId="172" fontId="83" fillId="4" borderId="23" xfId="32" applyNumberFormat="1" applyFont="1" applyFill="1" applyBorder="1"/>
    <xf numFmtId="172" fontId="83" fillId="4" borderId="0" xfId="32" applyNumberFormat="1" applyFont="1" applyFill="1"/>
    <xf numFmtId="167" fontId="86" fillId="4" borderId="0" xfId="31" applyFont="1" applyFill="1" applyAlignment="1">
      <alignment horizontal="left"/>
    </xf>
    <xf numFmtId="168" fontId="83" fillId="0" borderId="0" xfId="33" applyNumberFormat="1" applyFont="1" applyAlignment="1">
      <alignment vertical="top"/>
    </xf>
    <xf numFmtId="168" fontId="83" fillId="0" borderId="23" xfId="33" applyNumberFormat="1" applyFont="1" applyBorder="1" applyAlignment="1">
      <alignment vertical="top"/>
    </xf>
    <xf numFmtId="172" fontId="84" fillId="0" borderId="23" xfId="32" applyNumberFormat="1" applyFont="1" applyBorder="1"/>
    <xf numFmtId="172" fontId="83" fillId="0" borderId="0" xfId="31" applyNumberFormat="1" applyFont="1" applyFill="1"/>
    <xf numFmtId="168" fontId="83" fillId="0" borderId="0" xfId="33" applyNumberFormat="1" applyFont="1"/>
    <xf numFmtId="168" fontId="83" fillId="0" borderId="23" xfId="33" applyNumberFormat="1" applyFont="1" applyBorder="1"/>
    <xf numFmtId="167" fontId="84" fillId="0" borderId="0" xfId="31" applyFont="1"/>
    <xf numFmtId="167" fontId="86" fillId="0" borderId="0" xfId="31" applyFont="1" applyAlignment="1">
      <alignment horizontal="left" indent="1"/>
    </xf>
    <xf numFmtId="172" fontId="83" fillId="0" borderId="23" xfId="32" applyNumberFormat="1" applyFont="1" applyBorder="1"/>
    <xf numFmtId="167" fontId="83" fillId="0" borderId="0" xfId="31" applyFont="1" applyBorder="1"/>
    <xf numFmtId="172" fontId="83" fillId="0" borderId="24" xfId="31" applyNumberFormat="1" applyFont="1" applyFill="1" applyBorder="1"/>
    <xf numFmtId="172" fontId="83" fillId="10" borderId="25" xfId="32" applyNumberFormat="1" applyFont="1" applyFill="1" applyBorder="1"/>
    <xf numFmtId="167" fontId="85" fillId="0" borderId="0" xfId="31" applyFont="1" applyBorder="1" applyAlignment="1">
      <alignment horizontal="left" indent="1"/>
    </xf>
    <xf numFmtId="172" fontId="83" fillId="10" borderId="26" xfId="32" applyNumberFormat="1" applyFont="1" applyFill="1" applyBorder="1"/>
    <xf numFmtId="167" fontId="83" fillId="2" borderId="0" xfId="31" applyFont="1" applyFill="1" applyBorder="1"/>
    <xf numFmtId="172" fontId="83" fillId="2" borderId="27" xfId="32" applyNumberFormat="1" applyFont="1" applyFill="1" applyBorder="1"/>
    <xf numFmtId="172" fontId="83" fillId="2" borderId="0" xfId="32" applyNumberFormat="1" applyFont="1" applyFill="1" applyBorder="1"/>
    <xf numFmtId="167" fontId="86" fillId="2" borderId="0" xfId="31" applyFont="1" applyFill="1" applyBorder="1" applyAlignment="1">
      <alignment horizontal="left"/>
    </xf>
    <xf numFmtId="172" fontId="83" fillId="0" borderId="0" xfId="32" applyNumberFormat="1" applyFont="1" applyFill="1" applyBorder="1"/>
    <xf numFmtId="172" fontId="83" fillId="0" borderId="0" xfId="32" applyNumberFormat="1" applyFont="1" applyFill="1"/>
    <xf numFmtId="172" fontId="88" fillId="10" borderId="26" xfId="32" applyNumberFormat="1" applyFont="1" applyFill="1" applyBorder="1"/>
    <xf numFmtId="167" fontId="83" fillId="0" borderId="0" xfId="31" applyFont="1" applyFill="1"/>
    <xf numFmtId="172" fontId="83" fillId="0" borderId="25" xfId="32" applyNumberFormat="1" applyFont="1" applyFill="1" applyBorder="1"/>
    <xf numFmtId="172" fontId="83" fillId="0" borderId="26" xfId="32" applyNumberFormat="1" applyFont="1" applyFill="1" applyBorder="1"/>
    <xf numFmtId="167" fontId="85" fillId="0" borderId="0" xfId="31" applyFont="1" applyFill="1" applyAlignment="1">
      <alignment horizontal="left" indent="1"/>
    </xf>
    <xf numFmtId="172" fontId="83" fillId="0" borderId="0" xfId="31" applyNumberFormat="1" applyFont="1"/>
    <xf numFmtId="167" fontId="89" fillId="2" borderId="0" xfId="31" applyFont="1" applyFill="1" applyBorder="1"/>
    <xf numFmtId="167" fontId="83" fillId="2" borderId="0" xfId="31" applyFont="1" applyFill="1"/>
    <xf numFmtId="172" fontId="83" fillId="2" borderId="25" xfId="32" applyNumberFormat="1" applyFont="1" applyFill="1" applyBorder="1"/>
    <xf numFmtId="172" fontId="83" fillId="2" borderId="26" xfId="32" applyNumberFormat="1" applyFont="1" applyFill="1" applyBorder="1"/>
    <xf numFmtId="167" fontId="89" fillId="2" borderId="0" xfId="31" applyFont="1" applyFill="1"/>
    <xf numFmtId="167" fontId="84" fillId="0" borderId="2" xfId="31" applyFont="1" applyBorder="1" applyAlignment="1">
      <alignment horizontal="center"/>
    </xf>
    <xf numFmtId="172" fontId="84" fillId="0" borderId="28" xfId="32" applyNumberFormat="1" applyFont="1" applyBorder="1" applyAlignment="1">
      <alignment horizontal="center"/>
    </xf>
    <xf numFmtId="172" fontId="84" fillId="0" borderId="29" xfId="32" applyNumberFormat="1" applyFont="1" applyBorder="1" applyAlignment="1">
      <alignment horizontal="center"/>
    </xf>
    <xf numFmtId="167" fontId="86" fillId="0" borderId="2" xfId="31" applyFont="1" applyBorder="1"/>
    <xf numFmtId="49" fontId="85" fillId="0" borderId="0" xfId="31" applyNumberFormat="1" applyFont="1" applyBorder="1" applyAlignment="1">
      <alignment horizontal="left" indent="1"/>
    </xf>
    <xf numFmtId="10" fontId="90" fillId="0" borderId="0" xfId="2" applyNumberFormat="1" applyFont="1"/>
    <xf numFmtId="43" fontId="22" fillId="0" borderId="0" xfId="1" applyFont="1" applyFill="1" applyBorder="1"/>
    <xf numFmtId="10" fontId="82" fillId="0" borderId="0" xfId="2" applyNumberFormat="1" applyFont="1" applyFill="1" applyAlignment="1">
      <alignment horizontal="right"/>
    </xf>
    <xf numFmtId="167" fontId="22" fillId="0" borderId="0" xfId="0" applyFont="1" applyFill="1"/>
    <xf numFmtId="43" fontId="28" fillId="0" borderId="1" xfId="1" applyFont="1" applyFill="1" applyBorder="1" applyAlignment="1">
      <alignment horizontal="center"/>
    </xf>
    <xf numFmtId="43" fontId="28" fillId="0" borderId="0" xfId="1" applyFont="1" applyFill="1" applyBorder="1" applyAlignment="1">
      <alignment horizontal="center"/>
    </xf>
    <xf numFmtId="43" fontId="28" fillId="0" borderId="0" xfId="1" applyFont="1" applyFill="1" applyBorder="1"/>
    <xf numFmtId="167" fontId="28" fillId="0" borderId="0" xfId="0" applyFont="1" applyFill="1" applyBorder="1"/>
    <xf numFmtId="167" fontId="40" fillId="0" borderId="0" xfId="29" applyFont="1" applyAlignment="1">
      <alignment horizontal="center"/>
    </xf>
    <xf numFmtId="43" fontId="46" fillId="0" borderId="0" xfId="1" applyFont="1" applyFill="1"/>
    <xf numFmtId="43" fontId="46" fillId="0" borderId="0" xfId="1" applyFont="1" applyFill="1" applyBorder="1"/>
    <xf numFmtId="43" fontId="46" fillId="0" borderId="0" xfId="8" applyFont="1" applyAlignment="1"/>
    <xf numFmtId="173" fontId="46" fillId="0" borderId="0" xfId="2" applyNumberFormat="1" applyFont="1" applyFill="1"/>
    <xf numFmtId="167" fontId="46" fillId="0" borderId="0" xfId="29" applyNumberFormat="1" applyFont="1" applyFill="1" applyAlignment="1">
      <alignment horizontal="right"/>
    </xf>
    <xf numFmtId="167" fontId="46" fillId="0" borderId="0" xfId="8" applyNumberFormat="1" applyFont="1" applyAlignment="1">
      <alignment horizontal="right"/>
    </xf>
    <xf numFmtId="167" fontId="46" fillId="0" borderId="0" xfId="29" applyNumberFormat="1" applyFont="1" applyAlignment="1">
      <alignment horizontal="right"/>
    </xf>
    <xf numFmtId="167" fontId="46" fillId="0" borderId="0" xfId="29" applyFont="1" applyFill="1" applyAlignment="1">
      <alignment horizontal="right" vertical="center"/>
    </xf>
    <xf numFmtId="167" fontId="46" fillId="0" borderId="0" xfId="29" applyFont="1" applyFill="1" applyAlignment="1">
      <alignment horizontal="right"/>
    </xf>
    <xf numFmtId="43" fontId="93" fillId="0" borderId="0" xfId="8" applyFont="1" applyAlignment="1">
      <alignment horizontal="right"/>
    </xf>
    <xf numFmtId="43" fontId="46" fillId="0" borderId="0" xfId="8" applyFont="1" applyAlignment="1">
      <alignment horizontal="right" vertical="top"/>
    </xf>
    <xf numFmtId="43" fontId="46" fillId="0" borderId="0" xfId="8" applyFont="1" applyAlignment="1">
      <alignment horizontal="right"/>
    </xf>
    <xf numFmtId="167" fontId="46" fillId="0" borderId="0" xfId="29" applyNumberFormat="1" applyFont="1" applyFill="1" applyBorder="1" applyAlignment="1">
      <alignment horizontal="right"/>
    </xf>
    <xf numFmtId="43" fontId="46" fillId="0" borderId="0" xfId="8" applyFont="1" applyBorder="1" applyAlignment="1">
      <alignment horizontal="right"/>
    </xf>
    <xf numFmtId="43" fontId="93" fillId="0" borderId="0" xfId="8" applyFont="1" applyBorder="1" applyAlignment="1">
      <alignment horizontal="right"/>
    </xf>
    <xf numFmtId="167" fontId="46" fillId="0" borderId="0" xfId="8" applyNumberFormat="1" applyFont="1" applyBorder="1" applyAlignment="1">
      <alignment horizontal="right"/>
    </xf>
    <xf numFmtId="43" fontId="46" fillId="0" borderId="0" xfId="29" applyNumberFormat="1" applyFont="1" applyFill="1" applyBorder="1" applyAlignment="1">
      <alignment horizontal="right"/>
    </xf>
    <xf numFmtId="167" fontId="46" fillId="0" borderId="0" xfId="29" applyNumberFormat="1" applyFont="1" applyBorder="1" applyAlignment="1">
      <alignment horizontal="right"/>
    </xf>
    <xf numFmtId="167" fontId="46" fillId="0" borderId="0" xfId="29" applyFont="1" applyFill="1" applyBorder="1" applyAlignment="1">
      <alignment horizontal="right"/>
    </xf>
    <xf numFmtId="167" fontId="33" fillId="0" borderId="0" xfId="29" applyFont="1" applyFill="1" applyBorder="1"/>
    <xf numFmtId="167" fontId="94" fillId="0" borderId="0" xfId="29" applyFont="1" applyFill="1" applyBorder="1" applyAlignment="1">
      <alignment horizontal="right"/>
    </xf>
    <xf numFmtId="167" fontId="43" fillId="0" borderId="0" xfId="29" applyFont="1" applyFill="1" applyBorder="1"/>
    <xf numFmtId="168" fontId="46" fillId="0" borderId="0" xfId="29" applyNumberFormat="1" applyFont="1" applyFill="1" applyBorder="1" applyAlignment="1">
      <alignment horizontal="right"/>
    </xf>
    <xf numFmtId="43" fontId="95" fillId="0" borderId="0" xfId="8" applyFont="1" applyBorder="1" applyAlignment="1">
      <alignment horizontal="right"/>
    </xf>
    <xf numFmtId="167" fontId="33" fillId="0" borderId="0" xfId="29" applyFont="1" applyFill="1" applyBorder="1" applyAlignment="1">
      <alignment vertical="top"/>
    </xf>
    <xf numFmtId="43" fontId="33" fillId="0" borderId="0" xfId="8" applyFont="1" applyBorder="1"/>
    <xf numFmtId="43" fontId="39" fillId="0" borderId="0" xfId="8" applyFont="1" applyBorder="1"/>
    <xf numFmtId="44" fontId="46" fillId="0" borderId="0" xfId="29" applyNumberFormat="1" applyFont="1" applyFill="1" applyBorder="1" applyAlignment="1">
      <alignment horizontal="right"/>
    </xf>
    <xf numFmtId="167" fontId="43" fillId="0" borderId="0" xfId="29" applyFont="1" applyFill="1" applyBorder="1" applyAlignment="1">
      <alignment vertical="center"/>
    </xf>
    <xf numFmtId="167" fontId="45" fillId="0" borderId="0" xfId="29" applyFont="1" applyFill="1" applyBorder="1"/>
    <xf numFmtId="167" fontId="54" fillId="0" borderId="0" xfId="29" applyFont="1" applyFill="1" applyBorder="1" applyAlignment="1">
      <alignment vertical="center"/>
    </xf>
    <xf numFmtId="0" fontId="86" fillId="0" borderId="2" xfId="31" applyNumberFormat="1" applyFont="1" applyBorder="1" applyAlignment="1">
      <alignment horizontal="center"/>
    </xf>
    <xf numFmtId="0" fontId="83" fillId="2" borderId="0" xfId="31" applyNumberFormat="1" applyFont="1" applyFill="1" applyAlignment="1">
      <alignment horizontal="center"/>
    </xf>
    <xf numFmtId="0" fontId="83" fillId="0" borderId="0" xfId="31" applyNumberFormat="1" applyFont="1" applyFill="1" applyAlignment="1">
      <alignment horizontal="center"/>
    </xf>
    <xf numFmtId="0" fontId="83" fillId="2" borderId="0" xfId="31" applyNumberFormat="1" applyFont="1" applyFill="1" applyBorder="1" applyAlignment="1">
      <alignment horizontal="center"/>
    </xf>
    <xf numFmtId="0" fontId="83" fillId="0" borderId="0" xfId="31" applyNumberFormat="1" applyFont="1" applyFill="1" applyBorder="1" applyAlignment="1">
      <alignment horizontal="center"/>
    </xf>
    <xf numFmtId="0" fontId="83" fillId="2" borderId="0" xfId="31" applyNumberFormat="1" applyFont="1" applyFill="1" applyBorder="1"/>
    <xf numFmtId="0" fontId="83" fillId="0" borderId="0" xfId="31" applyNumberFormat="1" applyFont="1" applyBorder="1" applyAlignment="1">
      <alignment horizontal="center"/>
    </xf>
    <xf numFmtId="0" fontId="83" fillId="0" borderId="24" xfId="31" applyNumberFormat="1" applyFont="1" applyBorder="1" applyAlignment="1">
      <alignment horizontal="center"/>
    </xf>
    <xf numFmtId="0" fontId="83" fillId="0" borderId="0" xfId="31" applyNumberFormat="1" applyFont="1"/>
    <xf numFmtId="0" fontId="84" fillId="4" borderId="0" xfId="31" applyNumberFormat="1" applyFont="1" applyFill="1"/>
    <xf numFmtId="0" fontId="83" fillId="4" borderId="0" xfId="31" applyNumberFormat="1" applyFont="1" applyFill="1"/>
    <xf numFmtId="0" fontId="83" fillId="0" borderId="22" xfId="31" applyNumberFormat="1" applyFont="1" applyBorder="1" applyAlignment="1">
      <alignment horizontal="left"/>
    </xf>
    <xf numFmtId="0" fontId="84" fillId="0" borderId="0" xfId="31" applyNumberFormat="1" applyFont="1"/>
    <xf numFmtId="0" fontId="84" fillId="0" borderId="0" xfId="31" applyNumberFormat="1" applyFont="1" applyAlignment="1">
      <alignment horizontal="right"/>
    </xf>
    <xf numFmtId="0" fontId="83" fillId="0" borderId="0" xfId="31" applyNumberFormat="1" applyFont="1" applyAlignment="1">
      <alignment horizontal="right"/>
    </xf>
    <xf numFmtId="167" fontId="2" fillId="3" borderId="5" xfId="30" applyFont="1" applyFill="1" applyBorder="1" applyAlignment="1">
      <alignment horizontal="left"/>
    </xf>
    <xf numFmtId="167" fontId="2" fillId="3" borderId="1" xfId="30" applyFont="1" applyFill="1" applyBorder="1"/>
    <xf numFmtId="167" fontId="1" fillId="3" borderId="1" xfId="30" applyFont="1" applyFill="1" applyBorder="1"/>
    <xf numFmtId="167" fontId="1" fillId="3" borderId="6" xfId="30" applyFont="1" applyFill="1" applyBorder="1"/>
    <xf numFmtId="167" fontId="2" fillId="0" borderId="7" xfId="30" applyFont="1" applyBorder="1" applyAlignment="1">
      <alignment horizontal="right"/>
    </xf>
    <xf numFmtId="167" fontId="2" fillId="0" borderId="8" xfId="30" applyFont="1" applyBorder="1"/>
    <xf numFmtId="167" fontId="3" fillId="0" borderId="7" xfId="30" applyFont="1" applyBorder="1" applyAlignment="1">
      <alignment horizontal="right"/>
    </xf>
    <xf numFmtId="167" fontId="3" fillId="0" borderId="8" xfId="30" applyFont="1" applyBorder="1" applyAlignment="1">
      <alignment horizontal="right"/>
    </xf>
    <xf numFmtId="43" fontId="22" fillId="0" borderId="8" xfId="13" applyFont="1" applyBorder="1"/>
    <xf numFmtId="10" fontId="22" fillId="10" borderId="8" xfId="9" applyNumberFormat="1" applyFont="1" applyFill="1" applyBorder="1"/>
    <xf numFmtId="173" fontId="22" fillId="0" borderId="8" xfId="9" applyNumberFormat="1" applyFont="1" applyBorder="1"/>
    <xf numFmtId="43" fontId="1" fillId="0" borderId="8" xfId="30" applyNumberFormat="1" applyFont="1" applyBorder="1"/>
    <xf numFmtId="167" fontId="1" fillId="0" borderId="8" xfId="30" applyFont="1" applyBorder="1"/>
    <xf numFmtId="167" fontId="0" fillId="0" borderId="8" xfId="30" applyFont="1" applyBorder="1"/>
    <xf numFmtId="167" fontId="1" fillId="3" borderId="8" xfId="30" applyFont="1" applyFill="1" applyBorder="1"/>
    <xf numFmtId="166" fontId="22" fillId="10" borderId="8" xfId="9" applyNumberFormat="1" applyFont="1" applyFill="1" applyBorder="1"/>
    <xf numFmtId="167" fontId="2" fillId="0" borderId="9" xfId="30" applyFont="1" applyBorder="1" applyAlignment="1">
      <alignment horizontal="right"/>
    </xf>
    <xf numFmtId="167" fontId="2" fillId="0" borderId="2" xfId="30" applyFont="1" applyBorder="1"/>
    <xf numFmtId="167" fontId="1" fillId="0" borderId="2" xfId="30" applyFont="1" applyBorder="1"/>
    <xf numFmtId="167" fontId="1" fillId="0" borderId="10" xfId="30" applyFont="1" applyBorder="1"/>
    <xf numFmtId="167" fontId="98" fillId="0" borderId="0" xfId="30" applyFont="1" applyFill="1"/>
    <xf numFmtId="167" fontId="99" fillId="0" borderId="0" xfId="30" applyFont="1" applyFill="1"/>
    <xf numFmtId="167" fontId="100" fillId="0" borderId="0" xfId="30" applyFont="1" applyFill="1" applyAlignment="1">
      <alignment horizontal="right"/>
    </xf>
    <xf numFmtId="172" fontId="98" fillId="0" borderId="0" xfId="18" applyNumberFormat="1" applyFont="1" applyFill="1"/>
    <xf numFmtId="167" fontId="1" fillId="0" borderId="0" xfId="30" applyFont="1" applyFill="1"/>
    <xf numFmtId="167" fontId="2" fillId="0" borderId="0" xfId="30" applyFont="1" applyFill="1"/>
    <xf numFmtId="167" fontId="3" fillId="0" borderId="0" xfId="30" applyFont="1" applyFill="1" applyAlignment="1">
      <alignment horizontal="right"/>
    </xf>
    <xf numFmtId="172" fontId="22" fillId="0" borderId="0" xfId="18" applyNumberFormat="1" applyFont="1" applyFill="1"/>
    <xf numFmtId="0" fontId="1" fillId="0" borderId="0" xfId="30" applyNumberFormat="1" applyFont="1" applyFill="1"/>
    <xf numFmtId="0" fontId="2" fillId="0" borderId="0" xfId="30" applyNumberFormat="1" applyFont="1" applyFill="1"/>
    <xf numFmtId="0" fontId="3" fillId="0" borderId="0" xfId="30" applyNumberFormat="1" applyFont="1" applyFill="1" applyAlignment="1">
      <alignment horizontal="right"/>
    </xf>
    <xf numFmtId="0" fontId="22" fillId="0" borderId="0" xfId="18" applyNumberFormat="1" applyFont="1" applyFill="1"/>
    <xf numFmtId="43" fontId="1" fillId="0" borderId="0" xfId="1" applyFont="1" applyFill="1"/>
    <xf numFmtId="43" fontId="2" fillId="0" borderId="0" xfId="1" applyFont="1" applyFill="1"/>
    <xf numFmtId="43" fontId="3" fillId="0" borderId="0" xfId="1" applyFont="1" applyFill="1" applyAlignment="1">
      <alignment horizontal="right"/>
    </xf>
    <xf numFmtId="167" fontId="2" fillId="0" borderId="5" xfId="30" applyFont="1" applyBorder="1" applyAlignment="1">
      <alignment horizontal="right"/>
    </xf>
    <xf numFmtId="167" fontId="2" fillId="0" borderId="1" xfId="30" applyFont="1" applyBorder="1"/>
    <xf numFmtId="167" fontId="2" fillId="0" borderId="1" xfId="30" applyFont="1" applyBorder="1" applyAlignment="1">
      <alignment horizontal="right"/>
    </xf>
    <xf numFmtId="10" fontId="2" fillId="10" borderId="1" xfId="9" applyNumberFormat="1" applyFont="1" applyFill="1" applyBorder="1" applyAlignment="1">
      <alignment horizontal="center"/>
    </xf>
    <xf numFmtId="167" fontId="2" fillId="0" borderId="6" xfId="30" applyFont="1" applyBorder="1"/>
    <xf numFmtId="167" fontId="1" fillId="0" borderId="8" xfId="30" applyFont="1" applyFill="1" applyBorder="1"/>
    <xf numFmtId="167" fontId="1" fillId="0" borderId="1" xfId="30" applyFont="1" applyBorder="1"/>
    <xf numFmtId="175" fontId="1" fillId="0" borderId="0" xfId="1" applyNumberFormat="1" applyFont="1" applyBorder="1"/>
    <xf numFmtId="168" fontId="22" fillId="10" borderId="0" xfId="13" applyNumberFormat="1" applyFont="1" applyFill="1" applyBorder="1"/>
    <xf numFmtId="168" fontId="22" fillId="0" borderId="0" xfId="13" applyNumberFormat="1" applyFont="1" applyBorder="1"/>
    <xf numFmtId="168" fontId="22" fillId="0" borderId="8" xfId="13" applyNumberFormat="1" applyFont="1" applyBorder="1"/>
    <xf numFmtId="167" fontId="2" fillId="0" borderId="7" xfId="30" applyFont="1" applyBorder="1" applyAlignment="1">
      <alignment wrapText="1"/>
    </xf>
    <xf numFmtId="0" fontId="4" fillId="0" borderId="36" xfId="42" applyFill="1" applyBorder="1"/>
    <xf numFmtId="0" fontId="4" fillId="0" borderId="35" xfId="42" applyFill="1" applyBorder="1"/>
    <xf numFmtId="0" fontId="4" fillId="0" borderId="35" xfId="42" applyFill="1" applyBorder="1" applyAlignment="1">
      <alignment horizontal="left"/>
    </xf>
    <xf numFmtId="0" fontId="4" fillId="0" borderId="0" xfId="42" applyFill="1"/>
    <xf numFmtId="0" fontId="4" fillId="0" borderId="32" xfId="42" applyFont="1" applyFill="1" applyBorder="1"/>
    <xf numFmtId="0" fontId="101" fillId="0" borderId="7" xfId="42" applyFont="1" applyFill="1" applyBorder="1" applyAlignment="1">
      <alignment horizontal="left"/>
    </xf>
    <xf numFmtId="0" fontId="101" fillId="0" borderId="40" xfId="42" applyFont="1" applyFill="1" applyBorder="1" applyAlignment="1">
      <alignment horizontal="left"/>
    </xf>
    <xf numFmtId="0" fontId="4" fillId="0" borderId="11" xfId="42" applyFill="1" applyBorder="1"/>
    <xf numFmtId="0" fontId="4" fillId="0" borderId="7" xfId="42" applyFont="1" applyFill="1" applyBorder="1"/>
    <xf numFmtId="0" fontId="101" fillId="0" borderId="9" xfId="42" applyFont="1" applyFill="1" applyBorder="1" applyAlignment="1">
      <alignment horizontal="left"/>
    </xf>
    <xf numFmtId="0" fontId="4" fillId="0" borderId="40" xfId="42" applyFill="1" applyBorder="1"/>
    <xf numFmtId="0" fontId="101" fillId="0" borderId="44" xfId="42" applyFont="1" applyFill="1" applyBorder="1" applyAlignment="1">
      <alignment horizontal="left"/>
    </xf>
    <xf numFmtId="0" fontId="101" fillId="18" borderId="5" xfId="42" applyFont="1" applyFill="1" applyBorder="1"/>
    <xf numFmtId="0" fontId="103" fillId="18" borderId="9" xfId="42" applyFont="1" applyFill="1" applyBorder="1"/>
    <xf numFmtId="167" fontId="2" fillId="3" borderId="40" xfId="30" applyFont="1" applyFill="1" applyBorder="1" applyAlignment="1">
      <alignment horizontal="left"/>
    </xf>
    <xf numFmtId="167" fontId="2" fillId="3" borderId="11" xfId="30" applyFont="1" applyFill="1" applyBorder="1"/>
    <xf numFmtId="167" fontId="1" fillId="3" borderId="11" xfId="30" applyFont="1" applyFill="1" applyBorder="1"/>
    <xf numFmtId="167" fontId="1" fillId="3" borderId="42" xfId="30" applyFont="1" applyFill="1" applyBorder="1"/>
    <xf numFmtId="44" fontId="2" fillId="8" borderId="8" xfId="44" applyFont="1" applyFill="1" applyBorder="1"/>
    <xf numFmtId="44" fontId="2" fillId="8" borderId="8" xfId="44" applyFont="1" applyFill="1" applyBorder="1" applyAlignment="1">
      <alignment horizontal="right"/>
    </xf>
    <xf numFmtId="167" fontId="104" fillId="0" borderId="0" xfId="4" applyFont="1" applyFill="1"/>
    <xf numFmtId="167" fontId="105" fillId="0" borderId="0" xfId="4" applyFont="1" applyAlignment="1">
      <alignment horizontal="left"/>
    </xf>
    <xf numFmtId="167" fontId="105" fillId="0" borderId="0" xfId="4" applyFont="1"/>
    <xf numFmtId="167" fontId="104" fillId="0" borderId="0" xfId="4" applyFont="1"/>
    <xf numFmtId="167" fontId="106" fillId="0" borderId="0" xfId="4" applyFont="1" applyFill="1" applyAlignment="1">
      <alignment horizontal="center"/>
    </xf>
    <xf numFmtId="167" fontId="104" fillId="0" borderId="0" xfId="4" applyFont="1" applyFill="1" applyAlignment="1">
      <alignment horizontal="justify" vertical="top" wrapText="1"/>
    </xf>
    <xf numFmtId="167" fontId="104" fillId="0" borderId="0" xfId="4" applyFont="1" applyAlignment="1">
      <alignment horizontal="left"/>
    </xf>
    <xf numFmtId="167" fontId="105" fillId="9" borderId="0" xfId="4" applyFont="1" applyFill="1" applyAlignment="1">
      <alignment horizontal="left"/>
    </xf>
    <xf numFmtId="167" fontId="104" fillId="9" borderId="0" xfId="4" applyFont="1" applyFill="1"/>
    <xf numFmtId="167" fontId="104" fillId="0" borderId="0" xfId="4" applyFont="1" applyFill="1" applyAlignment="1"/>
    <xf numFmtId="167" fontId="104" fillId="0" borderId="0" xfId="4" applyFont="1" applyFill="1" applyAlignment="1">
      <alignment horizontal="left"/>
    </xf>
    <xf numFmtId="167" fontId="107" fillId="0" borderId="0" xfId="4" applyFont="1" applyFill="1" applyAlignment="1"/>
    <xf numFmtId="167" fontId="105" fillId="0" borderId="0" xfId="4" applyFont="1" applyFill="1"/>
    <xf numFmtId="167" fontId="106" fillId="0" borderId="0" xfId="4" applyFont="1" applyAlignment="1">
      <alignment horizontal="right"/>
    </xf>
    <xf numFmtId="167" fontId="108" fillId="0" borderId="0" xfId="4" applyFont="1" applyAlignment="1">
      <alignment horizontal="right"/>
    </xf>
    <xf numFmtId="167" fontId="104" fillId="0" borderId="0" xfId="4" applyFont="1" applyAlignment="1">
      <alignment horizontal="right"/>
    </xf>
    <xf numFmtId="10" fontId="104" fillId="0" borderId="0" xfId="5" applyNumberFormat="1" applyFont="1"/>
    <xf numFmtId="10" fontId="107" fillId="0" borderId="0" xfId="5" applyNumberFormat="1" applyFont="1"/>
    <xf numFmtId="10" fontId="109" fillId="0" borderId="0" xfId="5" applyNumberFormat="1" applyFont="1"/>
    <xf numFmtId="167" fontId="104" fillId="0" borderId="0" xfId="4" applyFont="1" applyFill="1" applyAlignment="1">
      <alignment vertical="center"/>
    </xf>
    <xf numFmtId="167" fontId="104" fillId="0" borderId="0" xfId="4" applyFont="1" applyAlignment="1">
      <alignment vertical="center"/>
    </xf>
    <xf numFmtId="167" fontId="104" fillId="0" borderId="0" xfId="4" applyFont="1" applyAlignment="1">
      <alignment horizontal="right" vertical="center"/>
    </xf>
    <xf numFmtId="10" fontId="104" fillId="0" borderId="0" xfId="5" applyNumberFormat="1" applyFont="1" applyAlignment="1">
      <alignment vertical="center"/>
    </xf>
    <xf numFmtId="10" fontId="107" fillId="0" borderId="0" xfId="5" applyNumberFormat="1" applyFont="1" applyAlignment="1">
      <alignment vertical="center"/>
    </xf>
    <xf numFmtId="10" fontId="109" fillId="0" borderId="0" xfId="5" applyNumberFormat="1" applyFont="1" applyAlignment="1">
      <alignment vertical="center"/>
    </xf>
    <xf numFmtId="167" fontId="104" fillId="0" borderId="0" xfId="4" applyFont="1" applyAlignment="1"/>
    <xf numFmtId="167" fontId="104" fillId="0" borderId="0" xfId="4" applyFont="1" applyAlignment="1">
      <alignment horizontal="right" vertical="top"/>
    </xf>
    <xf numFmtId="167" fontId="107" fillId="0" borderId="0" xfId="4" applyFont="1"/>
    <xf numFmtId="167" fontId="104" fillId="0" borderId="0" xfId="4" applyFont="1" applyAlignment="1">
      <alignment horizontal="right" wrapText="1"/>
    </xf>
    <xf numFmtId="167" fontId="110" fillId="0" borderId="0" xfId="6" applyFont="1" applyFill="1" applyAlignment="1">
      <alignment horizontal="right"/>
    </xf>
    <xf numFmtId="167" fontId="107" fillId="9" borderId="0" xfId="4" applyFont="1" applyFill="1"/>
    <xf numFmtId="167" fontId="110" fillId="9" borderId="0" xfId="6" applyFont="1" applyFill="1" applyAlignment="1">
      <alignment horizontal="right"/>
    </xf>
    <xf numFmtId="167" fontId="106" fillId="0" borderId="0" xfId="4" applyFont="1" applyFill="1" applyAlignment="1">
      <alignment horizontal="right"/>
    </xf>
    <xf numFmtId="168" fontId="104" fillId="0" borderId="0" xfId="8" applyNumberFormat="1" applyFont="1" applyFill="1"/>
    <xf numFmtId="168" fontId="104" fillId="0" borderId="0" xfId="8" applyNumberFormat="1" applyFont="1"/>
    <xf numFmtId="168" fontId="109" fillId="0" borderId="0" xfId="8" applyNumberFormat="1" applyFont="1"/>
    <xf numFmtId="168" fontId="107" fillId="0" borderId="0" xfId="4" applyNumberFormat="1" applyFont="1" applyFill="1" applyAlignment="1">
      <alignment vertical="top"/>
    </xf>
    <xf numFmtId="167" fontId="104" fillId="0" borderId="0" xfId="4" applyFont="1" applyAlignment="1">
      <alignment horizontal="left" vertical="top"/>
    </xf>
    <xf numFmtId="167" fontId="104" fillId="0" borderId="0" xfId="4" applyFont="1" applyAlignment="1">
      <alignment horizontal="right" vertical="top" wrapText="1"/>
    </xf>
    <xf numFmtId="168" fontId="107" fillId="0" borderId="0" xfId="4" applyNumberFormat="1" applyFont="1" applyAlignment="1">
      <alignment vertical="top"/>
    </xf>
    <xf numFmtId="168" fontId="109" fillId="0" borderId="0" xfId="4" applyNumberFormat="1" applyFont="1" applyAlignment="1">
      <alignment vertical="top"/>
    </xf>
    <xf numFmtId="167" fontId="104" fillId="0" borderId="0" xfId="4" applyFont="1" applyAlignment="1">
      <alignment vertical="top"/>
    </xf>
    <xf numFmtId="167" fontId="105" fillId="9" borderId="0" xfId="4" applyFont="1" applyFill="1" applyAlignment="1">
      <alignment horizontal="right"/>
    </xf>
    <xf numFmtId="170" fontId="104" fillId="0" borderId="0" xfId="4" applyNumberFormat="1" applyFont="1" applyFill="1"/>
    <xf numFmtId="167" fontId="104" fillId="0" borderId="0" xfId="4" applyFont="1" applyFill="1" applyAlignment="1">
      <alignment horizontal="left" vertical="top"/>
    </xf>
    <xf numFmtId="170" fontId="104" fillId="0" borderId="0" xfId="4" applyNumberFormat="1" applyFont="1" applyFill="1" applyAlignment="1"/>
    <xf numFmtId="170" fontId="104" fillId="0" borderId="0" xfId="4" applyNumberFormat="1" applyFont="1" applyFill="1" applyBorder="1" applyAlignment="1"/>
    <xf numFmtId="170" fontId="104" fillId="0" borderId="0" xfId="1" applyNumberFormat="1" applyFont="1" applyFill="1" applyBorder="1" applyAlignment="1"/>
    <xf numFmtId="170" fontId="104" fillId="0" borderId="1" xfId="4" applyNumberFormat="1" applyFont="1" applyBorder="1"/>
    <xf numFmtId="170" fontId="104" fillId="0" borderId="0" xfId="4" applyNumberFormat="1" applyFont="1"/>
    <xf numFmtId="167" fontId="104" fillId="0" borderId="0" xfId="4" applyFont="1" applyFill="1" applyAlignment="1">
      <alignment horizontal="left" wrapText="1"/>
    </xf>
    <xf numFmtId="10" fontId="104" fillId="0" borderId="0" xfId="4" applyNumberFormat="1" applyFont="1" applyFill="1"/>
    <xf numFmtId="167" fontId="109" fillId="0" borderId="0" xfId="4" applyFont="1"/>
    <xf numFmtId="167" fontId="111" fillId="0" borderId="0" xfId="4" applyFont="1" applyFill="1"/>
    <xf numFmtId="167" fontId="111" fillId="0" borderId="0" xfId="4" applyFont="1" applyAlignment="1">
      <alignment horizontal="right"/>
    </xf>
    <xf numFmtId="10" fontId="111" fillId="0" borderId="0" xfId="9" applyNumberFormat="1" applyFont="1" applyFill="1" applyBorder="1"/>
    <xf numFmtId="10" fontId="111" fillId="0" borderId="0" xfId="2" applyNumberFormat="1" applyFont="1" applyFill="1" applyBorder="1"/>
    <xf numFmtId="167" fontId="111" fillId="0" borderId="0" xfId="4" applyFont="1" applyBorder="1"/>
    <xf numFmtId="167" fontId="111" fillId="0" borderId="0" xfId="4" applyFont="1"/>
    <xf numFmtId="169" fontId="111" fillId="0" borderId="0" xfId="9" applyNumberFormat="1" applyFont="1" applyFill="1" applyBorder="1"/>
    <xf numFmtId="166" fontId="111" fillId="0" borderId="0" xfId="9" applyNumberFormat="1" applyFont="1" applyFill="1" applyBorder="1"/>
    <xf numFmtId="166" fontId="107" fillId="0" borderId="0" xfId="9" applyNumberFormat="1" applyFont="1" applyFill="1" applyBorder="1"/>
    <xf numFmtId="167" fontId="104" fillId="0" borderId="0" xfId="4" applyFont="1" applyBorder="1"/>
    <xf numFmtId="10" fontId="107" fillId="0" borderId="0" xfId="9" applyNumberFormat="1" applyFont="1" applyFill="1" applyBorder="1"/>
    <xf numFmtId="167" fontId="104" fillId="0" borderId="0" xfId="4" applyNumberFormat="1" applyFont="1" applyAlignment="1">
      <alignment horizontal="right"/>
    </xf>
    <xf numFmtId="10" fontId="104" fillId="0" borderId="0" xfId="2" applyNumberFormat="1" applyFont="1"/>
    <xf numFmtId="9" fontId="104" fillId="0" borderId="0" xfId="4" applyNumberFormat="1" applyFont="1" applyAlignment="1">
      <alignment horizontal="left"/>
    </xf>
    <xf numFmtId="167" fontId="108" fillId="0" borderId="0" xfId="4" applyFont="1" applyFill="1" applyAlignment="1">
      <alignment horizontal="right"/>
    </xf>
    <xf numFmtId="167" fontId="104" fillId="0" borderId="0" xfId="4" applyFont="1" applyFill="1" applyAlignment="1">
      <alignment vertical="top"/>
    </xf>
    <xf numFmtId="167" fontId="104" fillId="0" borderId="0" xfId="4" applyFont="1" applyAlignment="1">
      <alignment vertical="top" wrapText="1"/>
    </xf>
    <xf numFmtId="170" fontId="104" fillId="0" borderId="0" xfId="4" applyNumberFormat="1" applyFont="1" applyAlignment="1">
      <alignment vertical="top"/>
    </xf>
    <xf numFmtId="170" fontId="104" fillId="0" borderId="0" xfId="4" applyNumberFormat="1" applyFont="1" applyFill="1" applyAlignment="1">
      <alignment vertical="top"/>
    </xf>
    <xf numFmtId="170" fontId="109" fillId="0" borderId="0" xfId="4" applyNumberFormat="1" applyFont="1" applyFill="1" applyAlignment="1">
      <alignment vertical="top"/>
    </xf>
    <xf numFmtId="167" fontId="105" fillId="0" borderId="0" xfId="4" applyFont="1" applyAlignment="1">
      <alignment horizontal="right"/>
    </xf>
    <xf numFmtId="10" fontId="104" fillId="0" borderId="0" xfId="4" applyNumberFormat="1" applyFont="1" applyAlignment="1">
      <alignment horizontal="right"/>
    </xf>
    <xf numFmtId="10" fontId="109" fillId="0" borderId="0" xfId="4" applyNumberFormat="1" applyFont="1" applyAlignment="1">
      <alignment horizontal="right"/>
    </xf>
    <xf numFmtId="170" fontId="104" fillId="0" borderId="2" xfId="4" applyNumberFormat="1" applyFont="1" applyBorder="1"/>
    <xf numFmtId="167" fontId="107" fillId="0" borderId="0" xfId="6" applyFont="1" applyFill="1"/>
    <xf numFmtId="167" fontId="105" fillId="0" borderId="0" xfId="4" applyFont="1" applyFill="1" applyAlignment="1">
      <alignment horizontal="left"/>
    </xf>
    <xf numFmtId="167" fontId="105" fillId="0" borderId="0" xfId="4" applyFont="1" applyFill="1" applyAlignment="1">
      <alignment horizontal="right"/>
    </xf>
    <xf numFmtId="167" fontId="107" fillId="0" borderId="0" xfId="4" applyFont="1" applyFill="1"/>
    <xf numFmtId="0" fontId="4" fillId="18" borderId="1" xfId="42" applyFont="1" applyFill="1" applyBorder="1"/>
    <xf numFmtId="0" fontId="101" fillId="18" borderId="2" xfId="42" applyFont="1" applyFill="1" applyBorder="1"/>
    <xf numFmtId="0" fontId="4" fillId="0" borderId="33" xfId="42" applyFont="1" applyFill="1" applyBorder="1"/>
    <xf numFmtId="0" fontId="4" fillId="0" borderId="2" xfId="42" applyFill="1" applyBorder="1"/>
    <xf numFmtId="14" fontId="102" fillId="18" borderId="2" xfId="42" applyNumberFormat="1" applyFont="1" applyFill="1" applyBorder="1" applyAlignment="1">
      <alignment horizontal="right"/>
    </xf>
    <xf numFmtId="0" fontId="4" fillId="0" borderId="0" xfId="42" applyFont="1" applyFill="1" applyBorder="1"/>
    <xf numFmtId="0" fontId="4" fillId="0" borderId="38" xfId="42" applyFill="1" applyBorder="1"/>
    <xf numFmtId="43" fontId="112" fillId="0" borderId="0" xfId="1" applyFont="1"/>
    <xf numFmtId="43" fontId="114" fillId="0" borderId="0" xfId="1" applyFont="1" applyAlignment="1">
      <alignment horizontal="center"/>
    </xf>
    <xf numFmtId="167" fontId="114" fillId="0" borderId="0" xfId="0" applyFont="1" applyBorder="1" applyAlignment="1">
      <alignment horizontal="left"/>
    </xf>
    <xf numFmtId="43" fontId="114" fillId="0" borderId="0" xfId="1" applyFont="1"/>
    <xf numFmtId="167" fontId="115" fillId="0" borderId="0" xfId="0" applyFont="1" applyFill="1" applyBorder="1"/>
    <xf numFmtId="43" fontId="114" fillId="0" borderId="0" xfId="1" applyFont="1" applyBorder="1" applyAlignment="1">
      <alignment horizontal="left"/>
    </xf>
    <xf numFmtId="167" fontId="115" fillId="0" borderId="0" xfId="0" applyFont="1"/>
    <xf numFmtId="167" fontId="115" fillId="0" borderId="4" xfId="0" applyFont="1" applyBorder="1"/>
    <xf numFmtId="43" fontId="114" fillId="0" borderId="0" xfId="2" applyNumberFormat="1" applyFont="1" applyBorder="1" applyAlignment="1">
      <alignment horizontal="left"/>
    </xf>
    <xf numFmtId="167" fontId="115" fillId="0" borderId="0" xfId="0" applyFont="1" applyBorder="1"/>
    <xf numFmtId="167" fontId="22" fillId="0" borderId="0" xfId="0" applyFont="1"/>
    <xf numFmtId="43" fontId="116" fillId="0" borderId="0" xfId="1" applyFont="1" applyBorder="1" applyAlignment="1">
      <alignment horizontal="left"/>
    </xf>
    <xf numFmtId="43" fontId="114" fillId="0" borderId="1" xfId="1" applyFont="1" applyBorder="1"/>
    <xf numFmtId="167" fontId="114" fillId="0" borderId="0" xfId="0" applyFont="1"/>
    <xf numFmtId="43" fontId="82" fillId="0" borderId="0" xfId="1" applyFont="1" applyBorder="1" applyAlignment="1">
      <alignment horizontal="left"/>
    </xf>
    <xf numFmtId="167" fontId="22" fillId="0" borderId="0" xfId="0" applyFont="1" applyFill="1" applyBorder="1"/>
    <xf numFmtId="167" fontId="22" fillId="0" borderId="4" xfId="0" applyFont="1" applyBorder="1"/>
    <xf numFmtId="43" fontId="82" fillId="0" borderId="0" xfId="2" applyNumberFormat="1" applyFont="1" applyBorder="1" applyAlignment="1">
      <alignment horizontal="left"/>
    </xf>
    <xf numFmtId="167" fontId="22" fillId="0" borderId="0" xfId="0" applyFont="1" applyBorder="1"/>
    <xf numFmtId="43" fontId="82" fillId="0" borderId="0" xfId="1" applyFont="1" applyAlignment="1">
      <alignment horizontal="left"/>
    </xf>
    <xf numFmtId="167" fontId="82" fillId="0" borderId="0" xfId="0" applyFont="1" applyAlignment="1">
      <alignment horizontal="left"/>
    </xf>
    <xf numFmtId="167" fontId="118" fillId="0" borderId="0" xfId="0" applyFont="1" applyFill="1" applyAlignment="1">
      <alignment horizontal="center"/>
    </xf>
    <xf numFmtId="43" fontId="118" fillId="4" borderId="0" xfId="1" applyFont="1" applyFill="1" applyAlignment="1">
      <alignment horizontal="center"/>
    </xf>
    <xf numFmtId="167" fontId="119" fillId="0" borderId="0" xfId="0" applyFont="1"/>
    <xf numFmtId="43" fontId="118" fillId="3" borderId="0" xfId="1" applyFont="1" applyFill="1" applyAlignment="1">
      <alignment horizontal="right"/>
    </xf>
    <xf numFmtId="167" fontId="118" fillId="0" borderId="0" xfId="0" applyFont="1" applyFill="1" applyBorder="1" applyAlignment="1">
      <alignment horizontal="center"/>
    </xf>
    <xf numFmtId="43" fontId="118" fillId="2" borderId="0" xfId="1" applyFont="1" applyFill="1" applyAlignment="1">
      <alignment horizontal="right"/>
    </xf>
    <xf numFmtId="167" fontId="119" fillId="0" borderId="0" xfId="0" applyFont="1" applyAlignment="1">
      <alignment horizontal="right"/>
    </xf>
    <xf numFmtId="167" fontId="119" fillId="0" borderId="4" xfId="0" applyFont="1" applyBorder="1" applyAlignment="1">
      <alignment horizontal="right"/>
    </xf>
    <xf numFmtId="167" fontId="118" fillId="2" borderId="0" xfId="0" applyFont="1" applyFill="1" applyAlignment="1">
      <alignment horizontal="right"/>
    </xf>
    <xf numFmtId="43" fontId="22" fillId="0" borderId="0" xfId="0" applyNumberFormat="1" applyFont="1" applyFill="1" applyBorder="1"/>
    <xf numFmtId="43" fontId="22" fillId="0" borderId="0" xfId="0" applyNumberFormat="1" applyFont="1" applyAlignment="1">
      <alignment horizontal="left"/>
    </xf>
    <xf numFmtId="167" fontId="22" fillId="0" borderId="0" xfId="0" applyFont="1" applyAlignment="1">
      <alignment horizontal="left"/>
    </xf>
    <xf numFmtId="43" fontId="28" fillId="0" borderId="1" xfId="1" applyFont="1" applyBorder="1" applyAlignment="1">
      <alignment horizontal="center"/>
    </xf>
    <xf numFmtId="43" fontId="22" fillId="0" borderId="0" xfId="0" applyNumberFormat="1" applyFont="1" applyFill="1" applyBorder="1" applyAlignment="1">
      <alignment horizontal="center"/>
    </xf>
    <xf numFmtId="43" fontId="28" fillId="0" borderId="1" xfId="0" applyNumberFormat="1" applyFont="1" applyBorder="1" applyAlignment="1">
      <alignment horizontal="center"/>
    </xf>
    <xf numFmtId="167" fontId="22" fillId="0" borderId="0" xfId="0" applyFont="1" applyFill="1" applyBorder="1" applyAlignment="1">
      <alignment horizontal="center"/>
    </xf>
    <xf numFmtId="167" fontId="22" fillId="0" borderId="0" xfId="0" applyFont="1" applyAlignment="1">
      <alignment horizontal="right"/>
    </xf>
    <xf numFmtId="167" fontId="22" fillId="0" borderId="0" xfId="0" applyFont="1" applyAlignment="1">
      <alignment horizontal="center"/>
    </xf>
    <xf numFmtId="43" fontId="28" fillId="0" borderId="0" xfId="1" applyFont="1" applyAlignment="1">
      <alignment horizontal="center"/>
    </xf>
    <xf numFmtId="43" fontId="22" fillId="0" borderId="0" xfId="1" applyNumberFormat="1" applyFont="1" applyFill="1" applyBorder="1" applyAlignment="1">
      <alignment horizontal="center"/>
    </xf>
    <xf numFmtId="43" fontId="28" fillId="0" borderId="0" xfId="1" applyNumberFormat="1" applyFont="1" applyAlignment="1">
      <alignment horizontal="center"/>
    </xf>
    <xf numFmtId="43" fontId="28" fillId="0" borderId="0" xfId="1" applyFont="1"/>
    <xf numFmtId="43" fontId="28" fillId="0" borderId="0" xfId="0" applyNumberFormat="1" applyFont="1" applyAlignment="1">
      <alignment horizontal="center"/>
    </xf>
    <xf numFmtId="43" fontId="22" fillId="0" borderId="0" xfId="0" applyNumberFormat="1" applyFont="1" applyAlignment="1">
      <alignment horizontal="center"/>
    </xf>
    <xf numFmtId="43" fontId="28" fillId="0" borderId="0" xfId="1" applyFont="1" applyFill="1" applyBorder="1" applyAlignment="1">
      <alignment horizontal="left"/>
    </xf>
    <xf numFmtId="9" fontId="28" fillId="0" borderId="0" xfId="2" applyFont="1" applyFill="1" applyBorder="1" applyAlignment="1">
      <alignment horizontal="center"/>
    </xf>
    <xf numFmtId="43" fontId="120" fillId="0" borderId="0" xfId="1" applyFont="1" applyFill="1" applyBorder="1" applyAlignment="1">
      <alignment horizontal="left"/>
    </xf>
    <xf numFmtId="43" fontId="28" fillId="0" borderId="2" xfId="1" applyFont="1" applyBorder="1" applyAlignment="1">
      <alignment horizontal="center"/>
    </xf>
    <xf numFmtId="9" fontId="28" fillId="0" borderId="0" xfId="2" applyFont="1" applyAlignment="1">
      <alignment horizontal="left"/>
    </xf>
    <xf numFmtId="10" fontId="28" fillId="0" borderId="0" xfId="2" applyNumberFormat="1" applyFont="1"/>
    <xf numFmtId="167" fontId="28" fillId="0" borderId="0" xfId="0" applyFont="1"/>
    <xf numFmtId="167" fontId="28" fillId="0" borderId="4" xfId="0" applyFont="1" applyBorder="1"/>
    <xf numFmtId="167" fontId="91" fillId="0" borderId="0" xfId="0" applyFont="1" applyAlignment="1">
      <alignment horizontal="left"/>
    </xf>
    <xf numFmtId="43" fontId="22" fillId="0" borderId="0" xfId="1" applyFont="1" applyBorder="1"/>
    <xf numFmtId="9" fontId="22" fillId="0" borderId="0" xfId="2" applyFont="1" applyBorder="1"/>
    <xf numFmtId="43" fontId="28" fillId="0" borderId="0" xfId="1" applyFont="1" applyBorder="1"/>
    <xf numFmtId="167" fontId="28" fillId="0" borderId="0" xfId="0" applyFont="1" applyBorder="1"/>
    <xf numFmtId="167" fontId="91" fillId="0" borderId="0" xfId="0" applyFont="1" applyBorder="1" applyAlignment="1">
      <alignment horizontal="left"/>
    </xf>
    <xf numFmtId="10" fontId="28" fillId="0" borderId="0" xfId="2" applyNumberFormat="1" applyFont="1" applyFill="1"/>
    <xf numFmtId="43" fontId="28" fillId="0" borderId="0" xfId="1" applyFont="1" applyBorder="1" applyAlignment="1">
      <alignment horizontal="center"/>
    </xf>
    <xf numFmtId="167" fontId="30" fillId="0" borderId="0" xfId="0" applyFont="1" applyFill="1"/>
    <xf numFmtId="43" fontId="121" fillId="0" borderId="0" xfId="1" applyFont="1" applyAlignment="1">
      <alignment horizontal="right"/>
    </xf>
    <xf numFmtId="167" fontId="30" fillId="0" borderId="0" xfId="0" applyFont="1" applyBorder="1"/>
    <xf numFmtId="10" fontId="121" fillId="0" borderId="0" xfId="2" applyNumberFormat="1" applyFont="1" applyAlignment="1">
      <alignment horizontal="right"/>
    </xf>
    <xf numFmtId="43" fontId="30" fillId="0" borderId="0" xfId="1" applyFont="1" applyFill="1" applyBorder="1" applyAlignment="1">
      <alignment horizontal="center"/>
    </xf>
    <xf numFmtId="167" fontId="30" fillId="0" borderId="0" xfId="0" applyFont="1"/>
    <xf numFmtId="43" fontId="121" fillId="0" borderId="0" xfId="1" applyFont="1" applyAlignment="1">
      <alignment horizontal="left"/>
    </xf>
    <xf numFmtId="167" fontId="30" fillId="0" borderId="4" xfId="0" applyFont="1" applyBorder="1"/>
    <xf numFmtId="167" fontId="121" fillId="0" borderId="0" xfId="0" applyFont="1" applyAlignment="1">
      <alignment horizontal="left"/>
    </xf>
    <xf numFmtId="43" fontId="30" fillId="0" borderId="0" xfId="1" applyFont="1" applyFill="1" applyBorder="1"/>
    <xf numFmtId="43" fontId="30" fillId="0" borderId="0" xfId="1" applyFont="1" applyAlignment="1">
      <alignment horizontal="right"/>
    </xf>
    <xf numFmtId="43" fontId="30" fillId="0" borderId="0" xfId="1" applyFont="1" applyBorder="1"/>
    <xf numFmtId="167" fontId="30" fillId="0" borderId="0" xfId="0" applyFont="1" applyFill="1" applyBorder="1"/>
    <xf numFmtId="43" fontId="30" fillId="0" borderId="0" xfId="1" applyFont="1"/>
    <xf numFmtId="167" fontId="30" fillId="0" borderId="0" xfId="0" applyFont="1" applyAlignment="1">
      <alignment horizontal="right"/>
    </xf>
    <xf numFmtId="43" fontId="30" fillId="0" borderId="1" xfId="1" applyFont="1" applyBorder="1" applyAlignment="1">
      <alignment horizontal="right"/>
    </xf>
    <xf numFmtId="43" fontId="30" fillId="0" borderId="1" xfId="1" applyFont="1" applyBorder="1"/>
    <xf numFmtId="43" fontId="22" fillId="0" borderId="0" xfId="1" applyFont="1" applyAlignment="1">
      <alignment horizontal="right"/>
    </xf>
    <xf numFmtId="43" fontId="22" fillId="0" borderId="0" xfId="1" applyFont="1" applyBorder="1" applyAlignment="1">
      <alignment horizontal="center"/>
    </xf>
    <xf numFmtId="43" fontId="17" fillId="0" borderId="0" xfId="1" applyFont="1" applyAlignment="1">
      <alignment horizontal="right"/>
    </xf>
    <xf numFmtId="43" fontId="17" fillId="0" borderId="0" xfId="1" applyFont="1"/>
    <xf numFmtId="43" fontId="23" fillId="0" borderId="0" xfId="1" applyFont="1" applyAlignment="1">
      <alignment horizontal="right"/>
    </xf>
    <xf numFmtId="43" fontId="23" fillId="0" borderId="0" xfId="1" applyFont="1"/>
    <xf numFmtId="43" fontId="23" fillId="0" borderId="1" xfId="1" applyFont="1" applyBorder="1"/>
    <xf numFmtId="43" fontId="27" fillId="0" borderId="0" xfId="1" applyFont="1" applyAlignment="1">
      <alignment horizontal="center" vertical="center"/>
    </xf>
    <xf numFmtId="43" fontId="17" fillId="0" borderId="0" xfId="1" applyFont="1" applyFill="1" applyAlignment="1">
      <alignment horizontal="right" wrapText="1"/>
    </xf>
    <xf numFmtId="43" fontId="17" fillId="0" borderId="0" xfId="1" applyFont="1" applyAlignment="1">
      <alignment horizontal="right" wrapText="1"/>
    </xf>
    <xf numFmtId="172" fontId="36" fillId="0" borderId="0" xfId="29" applyNumberFormat="1" applyFont="1" applyFill="1" applyBorder="1" applyAlignment="1"/>
    <xf numFmtId="167" fontId="36" fillId="11" borderId="0" xfId="29" applyFont="1" applyFill="1" applyBorder="1"/>
    <xf numFmtId="167" fontId="36" fillId="11" borderId="0" xfId="29" applyFont="1" applyFill="1" applyBorder="1" applyAlignment="1"/>
    <xf numFmtId="172" fontId="38" fillId="0" borderId="46" xfId="16" applyNumberFormat="1" applyFont="1" applyFill="1" applyBorder="1"/>
    <xf numFmtId="172" fontId="36" fillId="0" borderId="46" xfId="16" applyNumberFormat="1" applyFont="1" applyFill="1" applyBorder="1"/>
    <xf numFmtId="168" fontId="36" fillId="0" borderId="47" xfId="8" applyNumberFormat="1" applyFont="1" applyFill="1" applyBorder="1"/>
    <xf numFmtId="168" fontId="36" fillId="11" borderId="47" xfId="1" applyNumberFormat="1" applyFont="1" applyFill="1" applyBorder="1"/>
    <xf numFmtId="168" fontId="36" fillId="11" borderId="47" xfId="8" applyNumberFormat="1" applyFont="1" applyFill="1" applyBorder="1"/>
    <xf numFmtId="168" fontId="37" fillId="0" borderId="47" xfId="8" applyNumberFormat="1" applyFont="1" applyFill="1" applyBorder="1"/>
    <xf numFmtId="168" fontId="37" fillId="11" borderId="47" xfId="1" applyNumberFormat="1" applyFont="1" applyFill="1" applyBorder="1"/>
    <xf numFmtId="168" fontId="37" fillId="11" borderId="47" xfId="8" applyNumberFormat="1" applyFont="1" applyFill="1" applyBorder="1"/>
    <xf numFmtId="168" fontId="42" fillId="5" borderId="47" xfId="8" applyNumberFormat="1" applyFont="1" applyFill="1" applyBorder="1"/>
    <xf numFmtId="168" fontId="37" fillId="5" borderId="47" xfId="8" applyNumberFormat="1" applyFont="1" applyFill="1" applyBorder="1"/>
    <xf numFmtId="168" fontId="36" fillId="5" borderId="47" xfId="8" applyNumberFormat="1" applyFont="1" applyFill="1" applyBorder="1"/>
    <xf numFmtId="168" fontId="36" fillId="0" borderId="47" xfId="8" applyNumberFormat="1" applyFont="1" applyFill="1" applyBorder="1" applyAlignment="1">
      <alignment vertical="top"/>
    </xf>
    <xf numFmtId="168" fontId="36" fillId="11" borderId="47" xfId="8" applyNumberFormat="1" applyFont="1" applyFill="1" applyBorder="1" applyAlignment="1">
      <alignment vertical="top"/>
    </xf>
    <xf numFmtId="168" fontId="37" fillId="0" borderId="47" xfId="8" applyNumberFormat="1" applyFont="1" applyFill="1" applyBorder="1" applyAlignment="1">
      <alignment vertical="top"/>
    </xf>
    <xf numFmtId="168" fontId="37" fillId="11" borderId="47" xfId="8" applyNumberFormat="1" applyFont="1" applyFill="1" applyBorder="1" applyAlignment="1">
      <alignment vertical="top"/>
    </xf>
    <xf numFmtId="168" fontId="36" fillId="0" borderId="48" xfId="8" applyNumberFormat="1" applyFont="1" applyFill="1" applyBorder="1"/>
    <xf numFmtId="172" fontId="36" fillId="0" borderId="12" xfId="16" applyNumberFormat="1" applyFont="1" applyFill="1" applyBorder="1"/>
    <xf numFmtId="172" fontId="36" fillId="11" borderId="12" xfId="16" applyNumberFormat="1" applyFont="1" applyFill="1" applyBorder="1"/>
    <xf numFmtId="168" fontId="36" fillId="0" borderId="49" xfId="8" applyNumberFormat="1" applyFont="1" applyFill="1" applyBorder="1"/>
    <xf numFmtId="168" fontId="36" fillId="11" borderId="49" xfId="8" applyNumberFormat="1" applyFont="1" applyFill="1" applyBorder="1"/>
    <xf numFmtId="168" fontId="42" fillId="0" borderId="47" xfId="8" applyNumberFormat="1" applyFont="1" applyFill="1" applyBorder="1"/>
    <xf numFmtId="172" fontId="36" fillId="11" borderId="47" xfId="16" applyNumberFormat="1" applyFont="1" applyFill="1" applyBorder="1"/>
    <xf numFmtId="172" fontId="36" fillId="0" borderId="47" xfId="16" applyNumberFormat="1" applyFont="1" applyFill="1" applyBorder="1"/>
    <xf numFmtId="172" fontId="42" fillId="5" borderId="47" xfId="16" applyNumberFormat="1" applyFont="1" applyFill="1" applyBorder="1"/>
    <xf numFmtId="43" fontId="45" fillId="0" borderId="0" xfId="1" applyFont="1" applyFill="1" applyBorder="1"/>
    <xf numFmtId="43" fontId="122" fillId="0" borderId="0" xfId="1" applyFont="1" applyFill="1" applyBorder="1"/>
    <xf numFmtId="167" fontId="122" fillId="0" borderId="0" xfId="29" applyFont="1" applyFill="1" applyBorder="1"/>
    <xf numFmtId="43" fontId="9" fillId="0" borderId="0" xfId="1" applyFont="1" applyFill="1"/>
    <xf numFmtId="9" fontId="33" fillId="0" borderId="0" xfId="2" applyFont="1" applyFill="1"/>
    <xf numFmtId="168" fontId="123" fillId="19" borderId="47" xfId="8" applyNumberFormat="1" applyFont="1" applyFill="1" applyBorder="1"/>
    <xf numFmtId="168" fontId="124" fillId="19" borderId="47" xfId="8" applyNumberFormat="1" applyFont="1" applyFill="1" applyBorder="1"/>
    <xf numFmtId="3" fontId="125" fillId="19" borderId="47" xfId="8" applyNumberFormat="1" applyFont="1" applyFill="1" applyBorder="1" applyAlignment="1">
      <alignment horizontal="right"/>
    </xf>
    <xf numFmtId="44" fontId="9" fillId="0" borderId="0" xfId="44" applyFont="1" applyFill="1" applyBorder="1" applyAlignment="1">
      <alignment vertical="center"/>
    </xf>
    <xf numFmtId="167" fontId="4" fillId="0" borderId="0" xfId="29" applyFont="1" applyFill="1" applyBorder="1" applyAlignment="1">
      <alignment horizontal="right"/>
    </xf>
    <xf numFmtId="43" fontId="92" fillId="0" borderId="0" xfId="1" applyFont="1" applyFill="1" applyBorder="1"/>
    <xf numFmtId="43" fontId="126" fillId="0" borderId="0" xfId="1" applyFont="1" applyFill="1" applyBorder="1"/>
    <xf numFmtId="167" fontId="126" fillId="0" borderId="0" xfId="29" applyFont="1" applyFill="1" applyBorder="1"/>
    <xf numFmtId="43" fontId="4" fillId="0" borderId="0" xfId="1" applyFont="1" applyFill="1" applyBorder="1"/>
    <xf numFmtId="167" fontId="4" fillId="0" borderId="0" xfId="29" applyFont="1" applyFill="1" applyBorder="1"/>
    <xf numFmtId="43" fontId="4" fillId="0" borderId="0" xfId="1" applyFont="1" applyFill="1"/>
    <xf numFmtId="167" fontId="4" fillId="0" borderId="0" xfId="29" applyFont="1" applyFill="1"/>
    <xf numFmtId="167" fontId="127" fillId="0" borderId="0" xfId="29" applyFont="1" applyFill="1" applyBorder="1" applyAlignment="1">
      <alignment vertical="center"/>
    </xf>
    <xf numFmtId="168" fontId="128" fillId="19" borderId="47" xfId="8" applyNumberFormat="1" applyFont="1" applyFill="1" applyBorder="1"/>
    <xf numFmtId="44" fontId="36" fillId="0" borderId="12" xfId="29" applyNumberFormat="1" applyFont="1" applyFill="1" applyBorder="1"/>
    <xf numFmtId="172" fontId="32" fillId="5" borderId="0" xfId="16" applyNumberFormat="1" applyFont="1" applyFill="1" applyAlignment="1">
      <alignment vertical="center"/>
    </xf>
    <xf numFmtId="172" fontId="32" fillId="0" borderId="0" xfId="16" applyNumberFormat="1" applyFont="1" applyFill="1" applyAlignment="1">
      <alignment vertical="center"/>
    </xf>
    <xf numFmtId="167" fontId="45" fillId="0" borderId="0" xfId="29" applyFont="1" applyFill="1" applyAlignment="1">
      <alignment vertical="center"/>
    </xf>
    <xf numFmtId="167" fontId="46" fillId="0" borderId="0" xfId="8" applyNumberFormat="1" applyFont="1" applyBorder="1" applyAlignment="1">
      <alignment horizontal="right" vertical="center"/>
    </xf>
    <xf numFmtId="43" fontId="46" fillId="0" borderId="0" xfId="29" applyNumberFormat="1" applyFont="1" applyFill="1" applyBorder="1" applyAlignment="1">
      <alignment horizontal="right" vertical="center"/>
    </xf>
    <xf numFmtId="167" fontId="45" fillId="0" borderId="0" xfId="29" applyFont="1" applyFill="1" applyBorder="1" applyAlignment="1">
      <alignment vertical="center"/>
    </xf>
    <xf numFmtId="44" fontId="36" fillId="0" borderId="0" xfId="29" applyNumberFormat="1" applyFont="1" applyFill="1" applyAlignment="1">
      <alignment vertical="center"/>
    </xf>
    <xf numFmtId="44" fontId="36" fillId="5" borderId="0" xfId="29" applyNumberFormat="1" applyFont="1" applyFill="1" applyAlignment="1">
      <alignment vertical="center"/>
    </xf>
    <xf numFmtId="167" fontId="46" fillId="0" borderId="0" xfId="29" applyNumberFormat="1" applyFont="1" applyFill="1" applyBorder="1" applyAlignment="1">
      <alignment horizontal="right" vertical="center"/>
    </xf>
    <xf numFmtId="43" fontId="46" fillId="0" borderId="0" xfId="8" applyFont="1" applyBorder="1" applyAlignment="1">
      <alignment horizontal="right" vertical="center"/>
    </xf>
    <xf numFmtId="44" fontId="36" fillId="11" borderId="0" xfId="8" applyNumberFormat="1" applyFont="1" applyFill="1" applyBorder="1" applyAlignment="1">
      <alignment vertical="center"/>
    </xf>
    <xf numFmtId="44" fontId="36" fillId="11" borderId="0" xfId="29" applyNumberFormat="1" applyFont="1" applyFill="1" applyAlignment="1">
      <alignment vertical="center"/>
    </xf>
    <xf numFmtId="43" fontId="33" fillId="0" borderId="0" xfId="8" applyFont="1" applyAlignment="1">
      <alignment vertical="center"/>
    </xf>
    <xf numFmtId="43" fontId="46" fillId="0" borderId="0" xfId="8" applyFont="1" applyAlignment="1">
      <alignment horizontal="right" vertical="center"/>
    </xf>
    <xf numFmtId="43" fontId="92" fillId="0" borderId="0" xfId="1" applyFont="1" applyFill="1" applyBorder="1" applyAlignment="1">
      <alignment vertical="center"/>
    </xf>
    <xf numFmtId="172" fontId="36" fillId="11" borderId="0" xfId="16" applyNumberFormat="1" applyFont="1" applyFill="1" applyAlignment="1">
      <alignment vertical="center"/>
    </xf>
    <xf numFmtId="172" fontId="36" fillId="0" borderId="0" xfId="16" applyNumberFormat="1" applyFont="1" applyFill="1" applyAlignment="1">
      <alignment vertical="center"/>
    </xf>
    <xf numFmtId="167" fontId="46" fillId="0" borderId="0" xfId="29" applyFont="1" applyFill="1" applyBorder="1" applyAlignment="1">
      <alignment horizontal="right" vertical="center"/>
    </xf>
    <xf numFmtId="168" fontId="52" fillId="0" borderId="47" xfId="8" applyNumberFormat="1" applyFont="1" applyFill="1" applyBorder="1"/>
    <xf numFmtId="3" fontId="53" fillId="0" borderId="47" xfId="8" applyNumberFormat="1" applyFont="1" applyFill="1" applyBorder="1" applyAlignment="1">
      <alignment horizontal="right"/>
    </xf>
    <xf numFmtId="10" fontId="55" fillId="0" borderId="47" xfId="5" applyNumberFormat="1" applyFont="1" applyFill="1" applyBorder="1" applyAlignment="1">
      <alignment vertical="top"/>
    </xf>
    <xf numFmtId="172" fontId="32" fillId="0" borderId="12" xfId="8" applyNumberFormat="1" applyFont="1" applyFill="1" applyBorder="1"/>
    <xf numFmtId="172" fontId="32" fillId="0" borderId="12" xfId="16" applyNumberFormat="1" applyFont="1" applyFill="1" applyBorder="1"/>
    <xf numFmtId="10" fontId="49" fillId="5" borderId="13" xfId="5" applyNumberFormat="1" applyFont="1" applyFill="1" applyBorder="1" applyAlignment="1">
      <alignment vertical="top"/>
    </xf>
    <xf numFmtId="172" fontId="32" fillId="13" borderId="12" xfId="16" applyNumberFormat="1" applyFont="1" applyFill="1" applyBorder="1" applyAlignment="1">
      <alignment vertical="center"/>
    </xf>
    <xf numFmtId="172" fontId="47" fillId="5" borderId="1" xfId="16" applyNumberFormat="1" applyFont="1" applyFill="1" applyBorder="1" applyAlignment="1"/>
    <xf numFmtId="10" fontId="61" fillId="5" borderId="13" xfId="5" applyNumberFormat="1" applyFont="1" applyFill="1" applyBorder="1" applyAlignment="1">
      <alignment vertical="top"/>
    </xf>
    <xf numFmtId="172" fontId="36" fillId="12" borderId="0" xfId="16" applyNumberFormat="1" applyFont="1" applyFill="1" applyAlignment="1">
      <alignment vertical="center"/>
    </xf>
    <xf numFmtId="172" fontId="32" fillId="12" borderId="0" xfId="16" applyNumberFormat="1" applyFont="1" applyFill="1" applyAlignment="1">
      <alignment vertical="center"/>
    </xf>
    <xf numFmtId="172" fontId="47" fillId="11" borderId="12" xfId="16" applyNumberFormat="1" applyFont="1" applyFill="1" applyBorder="1" applyAlignment="1"/>
    <xf numFmtId="172" fontId="47" fillId="0" borderId="12" xfId="16" applyNumberFormat="1" applyFont="1" applyFill="1" applyBorder="1" applyAlignment="1"/>
    <xf numFmtId="167" fontId="45" fillId="0" borderId="0" xfId="29" applyFont="1" applyFill="1" applyAlignment="1"/>
    <xf numFmtId="167" fontId="45" fillId="0" borderId="0" xfId="29" applyFont="1" applyFill="1" applyBorder="1" applyAlignment="1"/>
    <xf numFmtId="43" fontId="45" fillId="0" borderId="0" xfId="1" applyFont="1" applyFill="1" applyBorder="1" applyAlignment="1"/>
    <xf numFmtId="167" fontId="126" fillId="0" borderId="0" xfId="29" applyFont="1" applyFill="1" applyBorder="1" applyAlignment="1"/>
    <xf numFmtId="167" fontId="32" fillId="5" borderId="11" xfId="29" applyFont="1" applyFill="1" applyBorder="1" applyAlignment="1">
      <alignment horizontal="center" vertical="center" wrapText="1"/>
    </xf>
    <xf numFmtId="167" fontId="32" fillId="13" borderId="11" xfId="29" applyFont="1" applyFill="1" applyBorder="1" applyAlignment="1">
      <alignment horizontal="center" vertical="center" wrapText="1"/>
    </xf>
    <xf numFmtId="167" fontId="32" fillId="13" borderId="51" xfId="29" applyFont="1" applyFill="1" applyBorder="1" applyAlignment="1">
      <alignment horizontal="center" vertical="center" wrapText="1"/>
    </xf>
    <xf numFmtId="172" fontId="36" fillId="0" borderId="53" xfId="16" applyNumberFormat="1" applyFont="1" applyFill="1" applyBorder="1"/>
    <xf numFmtId="168" fontId="36" fillId="0" borderId="53" xfId="8" applyNumberFormat="1" applyFont="1" applyFill="1" applyBorder="1"/>
    <xf numFmtId="168" fontId="37" fillId="0" borderId="53" xfId="8" applyNumberFormat="1" applyFont="1" applyFill="1" applyBorder="1"/>
    <xf numFmtId="168" fontId="36" fillId="0" borderId="54" xfId="8" applyNumberFormat="1" applyFont="1" applyFill="1" applyBorder="1"/>
    <xf numFmtId="172" fontId="32" fillId="0" borderId="50" xfId="8" applyNumberFormat="1" applyFont="1" applyFill="1" applyBorder="1"/>
    <xf numFmtId="44" fontId="36" fillId="0" borderId="55" xfId="29" applyNumberFormat="1" applyFont="1" applyFill="1" applyBorder="1"/>
    <xf numFmtId="44" fontId="36" fillId="0" borderId="52" xfId="29" applyNumberFormat="1" applyFont="1" applyFill="1" applyBorder="1"/>
    <xf numFmtId="168" fontId="36" fillId="0" borderId="56" xfId="8" applyNumberFormat="1" applyFont="1" applyFill="1" applyBorder="1"/>
    <xf numFmtId="172" fontId="32" fillId="0" borderId="50" xfId="16" applyNumberFormat="1" applyFont="1" applyFill="1" applyBorder="1"/>
    <xf numFmtId="172" fontId="36" fillId="0" borderId="55" xfId="16" applyNumberFormat="1" applyFont="1" applyFill="1" applyBorder="1"/>
    <xf numFmtId="168" fontId="36" fillId="0" borderId="53" xfId="8" applyNumberFormat="1" applyFont="1" applyFill="1" applyBorder="1" applyAlignment="1">
      <alignment vertical="top"/>
    </xf>
    <xf numFmtId="168" fontId="37" fillId="0" borderId="53" xfId="8" applyNumberFormat="1" applyFont="1" applyFill="1" applyBorder="1" applyAlignment="1">
      <alignment vertical="top"/>
    </xf>
    <xf numFmtId="172" fontId="36" fillId="0" borderId="52" xfId="29" applyNumberFormat="1" applyFont="1" applyFill="1" applyBorder="1"/>
    <xf numFmtId="172" fontId="32" fillId="13" borderId="50" xfId="16" applyNumberFormat="1" applyFont="1" applyFill="1" applyBorder="1" applyAlignment="1">
      <alignment vertical="center"/>
    </xf>
    <xf numFmtId="44" fontId="32" fillId="13" borderId="11" xfId="16" applyNumberFormat="1" applyFont="1" applyFill="1" applyBorder="1"/>
    <xf numFmtId="172" fontId="32" fillId="13" borderId="2" xfId="16" applyNumberFormat="1" applyFont="1" applyFill="1" applyBorder="1" applyAlignment="1">
      <alignment vertical="center"/>
    </xf>
    <xf numFmtId="172" fontId="32" fillId="13" borderId="63" xfId="16" applyNumberFormat="1" applyFont="1" applyFill="1" applyBorder="1" applyAlignment="1">
      <alignment vertical="center"/>
    </xf>
    <xf numFmtId="172" fontId="36" fillId="13" borderId="11" xfId="16" applyNumberFormat="1" applyFont="1" applyFill="1" applyBorder="1" applyAlignment="1">
      <alignment vertical="center"/>
    </xf>
    <xf numFmtId="172" fontId="32" fillId="13" borderId="51" xfId="16" applyNumberFormat="1" applyFont="1" applyFill="1" applyBorder="1" applyAlignment="1">
      <alignment vertical="center"/>
    </xf>
    <xf numFmtId="44" fontId="36" fillId="13" borderId="11" xfId="29" applyNumberFormat="1" applyFont="1" applyFill="1" applyBorder="1" applyAlignment="1">
      <alignment vertical="center"/>
    </xf>
    <xf numFmtId="172" fontId="32" fillId="13" borderId="51" xfId="29" applyNumberFormat="1" applyFont="1" applyFill="1" applyBorder="1" applyAlignment="1">
      <alignment vertical="center"/>
    </xf>
    <xf numFmtId="168" fontId="36" fillId="0" borderId="46" xfId="8" applyNumberFormat="1" applyFont="1" applyFill="1" applyBorder="1"/>
    <xf numFmtId="44" fontId="36" fillId="0" borderId="62" xfId="44" applyFont="1" applyFill="1" applyBorder="1"/>
    <xf numFmtId="44" fontId="36" fillId="0" borderId="2" xfId="29" applyNumberFormat="1" applyFont="1" applyFill="1" applyBorder="1"/>
    <xf numFmtId="44" fontId="36" fillId="0" borderId="63" xfId="29" applyNumberFormat="1" applyFont="1" applyFill="1" applyBorder="1"/>
    <xf numFmtId="172" fontId="36" fillId="0" borderId="62" xfId="16" applyNumberFormat="1" applyFont="1" applyFill="1" applyBorder="1"/>
    <xf numFmtId="44" fontId="32" fillId="13" borderId="11" xfId="29" applyNumberFormat="1" applyFont="1" applyFill="1" applyBorder="1" applyAlignment="1">
      <alignment vertical="center"/>
    </xf>
    <xf numFmtId="172" fontId="32" fillId="13" borderId="51" xfId="8" applyNumberFormat="1" applyFont="1" applyFill="1" applyBorder="1" applyAlignment="1">
      <alignment vertical="center"/>
    </xf>
    <xf numFmtId="172" fontId="36" fillId="0" borderId="64" xfId="16" applyNumberFormat="1" applyFont="1" applyFill="1" applyBorder="1"/>
    <xf numFmtId="167" fontId="35" fillId="0" borderId="1" xfId="29" applyFont="1" applyFill="1" applyBorder="1" applyAlignment="1">
      <alignment horizontal="center"/>
    </xf>
    <xf numFmtId="167" fontId="35" fillId="0" borderId="64" xfId="29" applyFont="1" applyFill="1" applyBorder="1" applyAlignment="1">
      <alignment horizontal="center"/>
    </xf>
    <xf numFmtId="167" fontId="36" fillId="0" borderId="2" xfId="29" applyFont="1" applyFill="1" applyBorder="1" applyAlignment="1">
      <alignment horizontal="center"/>
    </xf>
    <xf numFmtId="167" fontId="36" fillId="0" borderId="63" xfId="29" applyFont="1" applyFill="1" applyBorder="1" applyAlignment="1">
      <alignment horizontal="center"/>
    </xf>
    <xf numFmtId="167" fontId="35" fillId="0" borderId="1" xfId="29" applyFont="1" applyFill="1" applyBorder="1"/>
    <xf numFmtId="172" fontId="36" fillId="0" borderId="2" xfId="29" applyNumberFormat="1" applyFont="1" applyFill="1" applyBorder="1" applyAlignment="1"/>
    <xf numFmtId="167" fontId="32" fillId="5" borderId="51" xfId="29" applyFont="1" applyFill="1" applyBorder="1" applyAlignment="1">
      <alignment horizontal="center" vertical="center" wrapText="1"/>
    </xf>
    <xf numFmtId="167" fontId="35" fillId="0" borderId="64" xfId="29" applyFont="1" applyFill="1" applyBorder="1"/>
    <xf numFmtId="172" fontId="36" fillId="0" borderId="63" xfId="29" applyNumberFormat="1" applyFont="1" applyFill="1" applyBorder="1" applyAlignment="1"/>
    <xf numFmtId="168" fontId="37" fillId="0" borderId="52" xfId="8" applyNumberFormat="1" applyFont="1" applyFill="1" applyBorder="1"/>
    <xf numFmtId="172" fontId="32" fillId="0" borderId="50" xfId="29" applyNumberFormat="1" applyFont="1" applyFill="1" applyBorder="1"/>
    <xf numFmtId="168" fontId="124" fillId="19" borderId="53" xfId="8" applyNumberFormat="1" applyFont="1" applyFill="1" applyBorder="1"/>
    <xf numFmtId="3" fontId="125" fillId="19" borderId="53" xfId="8" applyNumberFormat="1" applyFont="1" applyFill="1" applyBorder="1" applyAlignment="1">
      <alignment horizontal="right"/>
    </xf>
    <xf numFmtId="3" fontId="37" fillId="19" borderId="53" xfId="8" applyNumberFormat="1" applyFont="1" applyFill="1" applyBorder="1" applyAlignment="1">
      <alignment horizontal="right"/>
    </xf>
    <xf numFmtId="168" fontId="128" fillId="19" borderId="53" xfId="8" applyNumberFormat="1" applyFont="1" applyFill="1" applyBorder="1"/>
    <xf numFmtId="172" fontId="47" fillId="5" borderId="64" xfId="16" applyNumberFormat="1" applyFont="1" applyFill="1" applyBorder="1" applyAlignment="1"/>
    <xf numFmtId="10" fontId="49" fillId="5" borderId="65" xfId="5" applyNumberFormat="1" applyFont="1" applyFill="1" applyBorder="1" applyAlignment="1">
      <alignment vertical="top"/>
    </xf>
    <xf numFmtId="168" fontId="52" fillId="0" borderId="53" xfId="8" applyNumberFormat="1" applyFont="1" applyFill="1" applyBorder="1"/>
    <xf numFmtId="3" fontId="53" fillId="0" borderId="53" xfId="8" applyNumberFormat="1" applyFont="1" applyFill="1" applyBorder="1" applyAlignment="1">
      <alignment horizontal="right"/>
    </xf>
    <xf numFmtId="10" fontId="55" fillId="0" borderId="53" xfId="5" applyNumberFormat="1" applyFont="1" applyFill="1" applyBorder="1" applyAlignment="1">
      <alignment vertical="top"/>
    </xf>
    <xf numFmtId="172" fontId="58" fillId="0" borderId="52" xfId="16" applyNumberFormat="1" applyFont="1" applyFill="1" applyBorder="1"/>
    <xf numFmtId="10" fontId="60" fillId="0" borderId="52" xfId="5" applyNumberFormat="1" applyFont="1" applyFill="1" applyBorder="1" applyAlignment="1">
      <alignment vertical="top"/>
    </xf>
    <xf numFmtId="10" fontId="61" fillId="5" borderId="65" xfId="5" applyNumberFormat="1" applyFont="1" applyFill="1" applyBorder="1" applyAlignment="1">
      <alignment vertical="top"/>
    </xf>
    <xf numFmtId="172" fontId="52" fillId="0" borderId="46" xfId="8" applyNumberFormat="1" applyFont="1" applyFill="1" applyBorder="1"/>
    <xf numFmtId="172" fontId="52" fillId="0" borderId="62" xfId="8" applyNumberFormat="1" applyFont="1" applyFill="1" applyBorder="1"/>
    <xf numFmtId="44" fontId="32" fillId="5" borderId="11" xfId="16" applyNumberFormat="1" applyFont="1" applyFill="1" applyBorder="1"/>
    <xf numFmtId="44" fontId="36" fillId="0" borderId="72" xfId="29" applyNumberFormat="1" applyFont="1" applyFill="1" applyBorder="1"/>
    <xf numFmtId="44" fontId="32" fillId="5" borderId="11" xfId="29" applyNumberFormat="1" applyFont="1" applyFill="1" applyBorder="1" applyAlignment="1">
      <alignment vertical="center"/>
    </xf>
    <xf numFmtId="172" fontId="32" fillId="5" borderId="51" xfId="8" applyNumberFormat="1" applyFont="1" applyFill="1" applyBorder="1" applyAlignment="1">
      <alignment vertical="center"/>
    </xf>
    <xf numFmtId="44" fontId="36" fillId="0" borderId="1" xfId="29" applyNumberFormat="1" applyFont="1" applyFill="1" applyBorder="1"/>
    <xf numFmtId="44" fontId="36" fillId="0" borderId="64" xfId="29" applyNumberFormat="1" applyFont="1" applyFill="1" applyBorder="1"/>
    <xf numFmtId="168" fontId="42" fillId="0" borderId="46" xfId="8" applyNumberFormat="1" applyFont="1" applyFill="1" applyBorder="1"/>
    <xf numFmtId="172" fontId="42" fillId="0" borderId="62" xfId="44" applyNumberFormat="1" applyFont="1" applyFill="1" applyBorder="1"/>
    <xf numFmtId="172" fontId="36" fillId="0" borderId="72" xfId="29" applyNumberFormat="1" applyFont="1" applyFill="1" applyBorder="1"/>
    <xf numFmtId="172" fontId="36" fillId="0" borderId="55" xfId="29" applyNumberFormat="1" applyFont="1" applyFill="1" applyBorder="1"/>
    <xf numFmtId="44" fontId="36" fillId="0" borderId="11" xfId="29" applyNumberFormat="1" applyFont="1" applyFill="1" applyBorder="1" applyAlignment="1">
      <alignment vertical="center"/>
    </xf>
    <xf numFmtId="172" fontId="32" fillId="5" borderId="51" xfId="29" applyNumberFormat="1" applyFont="1" applyFill="1" applyBorder="1" applyAlignment="1">
      <alignment vertical="center"/>
    </xf>
    <xf numFmtId="172" fontId="32" fillId="5" borderId="11" xfId="16" applyNumberFormat="1" applyFont="1" applyFill="1" applyBorder="1" applyAlignment="1">
      <alignment vertical="center"/>
    </xf>
    <xf numFmtId="172" fontId="32" fillId="5" borderId="51" xfId="16" applyNumberFormat="1" applyFont="1" applyFill="1" applyBorder="1" applyAlignment="1">
      <alignment vertical="center"/>
    </xf>
    <xf numFmtId="167" fontId="32" fillId="0" borderId="51" xfId="29" applyFont="1" applyFill="1" applyBorder="1" applyAlignment="1">
      <alignment horizontal="center" vertical="center" wrapText="1"/>
    </xf>
    <xf numFmtId="172" fontId="36" fillId="0" borderId="68" xfId="16" applyNumberFormat="1" applyFont="1" applyFill="1" applyBorder="1"/>
    <xf numFmtId="167" fontId="32" fillId="0" borderId="52" xfId="29" applyFont="1" applyFill="1" applyBorder="1"/>
    <xf numFmtId="167" fontId="64" fillId="0" borderId="52" xfId="29" applyFont="1" applyFill="1" applyBorder="1" applyAlignment="1"/>
    <xf numFmtId="172" fontId="36" fillId="0" borderId="73" xfId="16" applyNumberFormat="1" applyFont="1" applyFill="1" applyBorder="1"/>
    <xf numFmtId="168" fontId="36" fillId="0" borderId="52" xfId="8" applyNumberFormat="1" applyFont="1" applyFill="1" applyBorder="1"/>
    <xf numFmtId="172" fontId="68" fillId="15" borderId="64" xfId="16" applyNumberFormat="1" applyFont="1" applyFill="1" applyBorder="1" applyAlignment="1"/>
    <xf numFmtId="10" fontId="69" fillId="15" borderId="65" xfId="5" applyNumberFormat="1" applyFont="1" applyFill="1" applyBorder="1" applyAlignment="1">
      <alignment vertical="top"/>
    </xf>
    <xf numFmtId="44" fontId="32" fillId="15" borderId="11" xfId="16" applyNumberFormat="1" applyFont="1" applyFill="1" applyBorder="1"/>
    <xf numFmtId="167" fontId="9" fillId="16" borderId="0" xfId="29" applyFont="1" applyFill="1" applyBorder="1" applyAlignment="1"/>
    <xf numFmtId="10" fontId="56" fillId="0" borderId="2" xfId="5" applyNumberFormat="1" applyFont="1" applyFill="1" applyBorder="1" applyAlignment="1">
      <alignment vertical="top"/>
    </xf>
    <xf numFmtId="10" fontId="56" fillId="0" borderId="63" xfId="5" applyNumberFormat="1" applyFont="1" applyFill="1" applyBorder="1" applyAlignment="1">
      <alignment vertical="top"/>
    </xf>
    <xf numFmtId="172" fontId="52" fillId="0" borderId="68" xfId="8" applyNumberFormat="1" applyFont="1" applyFill="1" applyBorder="1"/>
    <xf numFmtId="172" fontId="52" fillId="0" borderId="73" xfId="8" applyNumberFormat="1" applyFont="1" applyFill="1" applyBorder="1"/>
    <xf numFmtId="0" fontId="52" fillId="0" borderId="47" xfId="29" applyNumberFormat="1" applyFont="1" applyFill="1" applyBorder="1"/>
    <xf numFmtId="0" fontId="48" fillId="0" borderId="47" xfId="29" applyNumberFormat="1" applyFont="1" applyFill="1" applyBorder="1"/>
    <xf numFmtId="168" fontId="52" fillId="0" borderId="49" xfId="8" applyNumberFormat="1" applyFont="1" applyFill="1" applyBorder="1"/>
    <xf numFmtId="168" fontId="52" fillId="0" borderId="54" xfId="8" applyNumberFormat="1" applyFont="1" applyFill="1" applyBorder="1"/>
    <xf numFmtId="172" fontId="32" fillId="0" borderId="46" xfId="16" applyNumberFormat="1" applyFont="1" applyFill="1" applyBorder="1" applyAlignment="1">
      <alignment vertical="center"/>
    </xf>
    <xf numFmtId="172" fontId="32" fillId="0" borderId="62" xfId="16" applyNumberFormat="1" applyFont="1" applyFill="1" applyBorder="1" applyAlignment="1">
      <alignment vertical="center"/>
    </xf>
    <xf numFmtId="172" fontId="32" fillId="0" borderId="0" xfId="16" applyNumberFormat="1" applyFont="1" applyFill="1" applyBorder="1" applyAlignment="1">
      <alignment vertical="center"/>
    </xf>
    <xf numFmtId="168" fontId="32" fillId="0" borderId="47" xfId="8" applyNumberFormat="1" applyFont="1" applyFill="1" applyBorder="1" applyAlignment="1">
      <alignment vertical="center"/>
    </xf>
    <xf numFmtId="168" fontId="32" fillId="0" borderId="53" xfId="8" applyNumberFormat="1" applyFont="1" applyFill="1" applyBorder="1" applyAlignment="1">
      <alignment vertical="center"/>
    </xf>
    <xf numFmtId="168" fontId="32" fillId="12" borderId="0" xfId="8" applyNumberFormat="1" applyFont="1" applyFill="1" applyAlignment="1">
      <alignment vertical="center"/>
    </xf>
    <xf numFmtId="168" fontId="32" fillId="0" borderId="0" xfId="8" applyNumberFormat="1" applyFont="1" applyFill="1" applyBorder="1" applyAlignment="1">
      <alignment vertical="center"/>
    </xf>
    <xf numFmtId="168" fontId="32" fillId="0" borderId="49" xfId="8" applyNumberFormat="1" applyFont="1" applyFill="1" applyBorder="1" applyAlignment="1">
      <alignment vertical="center"/>
    </xf>
    <xf numFmtId="168" fontId="32" fillId="0" borderId="54" xfId="8" applyNumberFormat="1" applyFont="1" applyFill="1" applyBorder="1" applyAlignment="1">
      <alignment vertical="center"/>
    </xf>
    <xf numFmtId="172" fontId="36" fillId="15" borderId="11" xfId="16" applyNumberFormat="1" applyFont="1" applyFill="1" applyBorder="1" applyAlignment="1">
      <alignment vertical="center"/>
    </xf>
    <xf numFmtId="172" fontId="36" fillId="15" borderId="51" xfId="16" applyNumberFormat="1" applyFont="1" applyFill="1" applyBorder="1" applyAlignment="1">
      <alignment vertical="center"/>
    </xf>
    <xf numFmtId="172" fontId="36" fillId="14" borderId="0" xfId="16" applyNumberFormat="1" applyFont="1" applyFill="1" applyAlignment="1">
      <alignment vertical="center"/>
    </xf>
    <xf numFmtId="172" fontId="9" fillId="0" borderId="0" xfId="16" applyNumberFormat="1" applyFont="1" applyFill="1" applyBorder="1" applyAlignment="1">
      <alignment vertical="center"/>
    </xf>
    <xf numFmtId="167" fontId="9" fillId="0" borderId="0" xfId="29" applyFont="1" applyAlignment="1">
      <alignment vertical="center"/>
    </xf>
    <xf numFmtId="168" fontId="36" fillId="15" borderId="11" xfId="8" applyNumberFormat="1" applyFont="1" applyFill="1" applyBorder="1" applyAlignment="1">
      <alignment vertical="center"/>
    </xf>
    <xf numFmtId="168" fontId="36" fillId="15" borderId="51" xfId="8" applyNumberFormat="1" applyFont="1" applyFill="1" applyBorder="1" applyAlignment="1">
      <alignment vertical="center"/>
    </xf>
    <xf numFmtId="168" fontId="36" fillId="14" borderId="0" xfId="8" applyNumberFormat="1" applyFont="1" applyFill="1" applyAlignment="1">
      <alignment vertical="center"/>
    </xf>
    <xf numFmtId="168" fontId="36" fillId="0" borderId="0" xfId="8" applyNumberFormat="1" applyFont="1" applyFill="1" applyAlignment="1">
      <alignment vertical="center"/>
    </xf>
    <xf numFmtId="168" fontId="37" fillId="0" borderId="48" xfId="8" applyNumberFormat="1" applyFont="1" applyFill="1" applyBorder="1"/>
    <xf numFmtId="168" fontId="37" fillId="0" borderId="56" xfId="8" applyNumberFormat="1" applyFont="1" applyFill="1" applyBorder="1"/>
    <xf numFmtId="168" fontId="36" fillId="0" borderId="13" xfId="8" applyNumberFormat="1" applyFont="1" applyFill="1" applyBorder="1"/>
    <xf numFmtId="172" fontId="32" fillId="0" borderId="65" xfId="44" applyNumberFormat="1" applyFont="1" applyFill="1" applyBorder="1"/>
    <xf numFmtId="44" fontId="36" fillId="0" borderId="46" xfId="29" applyNumberFormat="1" applyFont="1" applyFill="1" applyBorder="1"/>
    <xf numFmtId="44" fontId="36" fillId="0" borderId="62" xfId="29" applyNumberFormat="1" applyFont="1" applyFill="1" applyBorder="1"/>
    <xf numFmtId="0" fontId="36" fillId="0" borderId="47" xfId="29" applyNumberFormat="1" applyFont="1" applyFill="1" applyBorder="1"/>
    <xf numFmtId="0" fontId="124" fillId="19" borderId="47" xfId="29" applyNumberFormat="1" applyFont="1" applyFill="1" applyBorder="1"/>
    <xf numFmtId="0" fontId="37" fillId="19" borderId="47" xfId="29" applyNumberFormat="1" applyFont="1" applyFill="1" applyBorder="1"/>
    <xf numFmtId="168" fontId="37" fillId="19" borderId="47" xfId="8" applyNumberFormat="1" applyFont="1" applyFill="1" applyBorder="1"/>
    <xf numFmtId="168" fontId="37" fillId="19" borderId="53" xfId="8" applyNumberFormat="1" applyFont="1" applyFill="1" applyBorder="1"/>
    <xf numFmtId="168" fontId="36" fillId="0" borderId="68" xfId="8" applyNumberFormat="1" applyFont="1" applyFill="1" applyBorder="1"/>
    <xf numFmtId="172" fontId="36" fillId="0" borderId="73" xfId="44" applyNumberFormat="1" applyFont="1" applyFill="1" applyBorder="1"/>
    <xf numFmtId="172" fontId="32" fillId="15" borderId="51" xfId="44" applyNumberFormat="1" applyFont="1" applyFill="1" applyBorder="1" applyAlignment="1">
      <alignment vertical="center"/>
    </xf>
    <xf numFmtId="168" fontId="36" fillId="14" borderId="0" xfId="8" applyNumberFormat="1" applyFont="1" applyFill="1" applyBorder="1" applyAlignment="1">
      <alignment vertical="center"/>
    </xf>
    <xf numFmtId="168" fontId="36" fillId="0" borderId="0" xfId="8" applyNumberFormat="1" applyFont="1" applyFill="1" applyBorder="1" applyAlignment="1">
      <alignment vertical="center"/>
    </xf>
    <xf numFmtId="168" fontId="9" fillId="0" borderId="0" xfId="8" applyNumberFormat="1" applyFont="1" applyFill="1" applyBorder="1" applyAlignment="1">
      <alignment vertical="center"/>
    </xf>
    <xf numFmtId="0" fontId="36" fillId="0" borderId="46" xfId="29" applyNumberFormat="1" applyFont="1" applyFill="1" applyBorder="1"/>
    <xf numFmtId="44" fontId="36" fillId="15" borderId="11" xfId="29" applyNumberFormat="1" applyFont="1" applyFill="1" applyBorder="1" applyAlignment="1">
      <alignment vertical="center"/>
    </xf>
    <xf numFmtId="172" fontId="32" fillId="15" borderId="51" xfId="29" applyNumberFormat="1" applyFont="1" applyFill="1" applyBorder="1" applyAlignment="1">
      <alignment vertical="center"/>
    </xf>
    <xf numFmtId="0" fontId="52" fillId="0" borderId="58" xfId="29" applyNumberFormat="1" applyFont="1" applyFill="1" applyBorder="1"/>
    <xf numFmtId="44" fontId="32" fillId="0" borderId="72" xfId="16" applyNumberFormat="1" applyFont="1" applyFill="1" applyBorder="1"/>
    <xf numFmtId="44" fontId="32" fillId="0" borderId="75" xfId="16" applyNumberFormat="1" applyFont="1" applyFill="1" applyBorder="1"/>
    <xf numFmtId="44" fontId="32" fillId="15" borderId="42" xfId="16" applyNumberFormat="1" applyFont="1" applyFill="1" applyBorder="1"/>
    <xf numFmtId="44" fontId="36" fillId="0" borderId="6" xfId="29" applyNumberFormat="1" applyFont="1" applyFill="1" applyBorder="1"/>
    <xf numFmtId="172" fontId="36" fillId="0" borderId="76" xfId="16" applyNumberFormat="1" applyFont="1" applyFill="1" applyBorder="1"/>
    <xf numFmtId="172" fontId="36" fillId="0" borderId="8" xfId="16" applyNumberFormat="1" applyFont="1" applyFill="1" applyBorder="1"/>
    <xf numFmtId="44" fontId="36" fillId="0" borderId="10" xfId="29" applyNumberFormat="1" applyFont="1" applyFill="1" applyBorder="1"/>
    <xf numFmtId="44" fontId="32" fillId="0" borderId="2" xfId="16" applyNumberFormat="1" applyFont="1" applyFill="1" applyBorder="1"/>
    <xf numFmtId="44" fontId="32" fillId="0" borderId="10" xfId="16" applyNumberFormat="1" applyFont="1" applyFill="1" applyBorder="1"/>
    <xf numFmtId="44" fontId="36" fillId="0" borderId="2" xfId="29" applyNumberFormat="1" applyFont="1" applyFill="1" applyBorder="1" applyAlignment="1">
      <alignment vertical="center"/>
    </xf>
    <xf numFmtId="172" fontId="32" fillId="0" borderId="2" xfId="29" applyNumberFormat="1" applyFont="1" applyFill="1" applyBorder="1" applyAlignment="1">
      <alignment vertical="center"/>
    </xf>
    <xf numFmtId="172" fontId="32" fillId="0" borderId="10" xfId="29" applyNumberFormat="1" applyFont="1" applyFill="1" applyBorder="1" applyAlignment="1">
      <alignment vertical="center"/>
    </xf>
    <xf numFmtId="10" fontId="49" fillId="0" borderId="2" xfId="5" applyNumberFormat="1" applyFont="1" applyFill="1" applyBorder="1" applyAlignment="1">
      <alignment vertical="top"/>
    </xf>
    <xf numFmtId="10" fontId="49" fillId="0" borderId="10" xfId="5" applyNumberFormat="1" applyFont="1" applyFill="1" applyBorder="1" applyAlignment="1">
      <alignment vertical="top"/>
    </xf>
    <xf numFmtId="44" fontId="32" fillId="5" borderId="42" xfId="16" applyNumberFormat="1" applyFont="1" applyFill="1" applyBorder="1"/>
    <xf numFmtId="44" fontId="32" fillId="13" borderId="42" xfId="16" applyNumberFormat="1" applyFont="1" applyFill="1" applyBorder="1"/>
    <xf numFmtId="43" fontId="2" fillId="0" borderId="0" xfId="1" applyFont="1" applyAlignment="1">
      <alignment horizontal="right" wrapText="1"/>
    </xf>
    <xf numFmtId="43" fontId="17" fillId="0" borderId="0" xfId="1" applyFont="1" applyAlignment="1">
      <alignment horizontal="right" wrapText="1"/>
    </xf>
    <xf numFmtId="43" fontId="23" fillId="0" borderId="0" xfId="1" applyFont="1" applyAlignment="1">
      <alignment horizontal="left"/>
    </xf>
    <xf numFmtId="43" fontId="112" fillId="0" borderId="0" xfId="1" applyFont="1" applyAlignment="1">
      <alignment horizontal="center"/>
    </xf>
    <xf numFmtId="43" fontId="112" fillId="0" borderId="0" xfId="1" applyFont="1" applyBorder="1" applyAlignment="1">
      <alignment horizontal="left"/>
    </xf>
    <xf numFmtId="43" fontId="112" fillId="0" borderId="0" xfId="1" applyFont="1" applyBorder="1"/>
    <xf numFmtId="43" fontId="112" fillId="0" borderId="0" xfId="1" applyFont="1" applyFill="1" applyBorder="1"/>
    <xf numFmtId="43" fontId="112" fillId="0" borderId="1" xfId="1" applyFont="1" applyBorder="1" applyAlignment="1">
      <alignment horizontal="center"/>
    </xf>
    <xf numFmtId="43" fontId="23" fillId="0" borderId="1" xfId="1" applyFont="1" applyBorder="1" applyAlignment="1">
      <alignment horizontal="center"/>
    </xf>
    <xf numFmtId="43" fontId="130" fillId="0" borderId="0" xfId="1" applyFont="1"/>
    <xf numFmtId="43" fontId="17" fillId="0" borderId="51" xfId="1" applyFont="1" applyFill="1" applyBorder="1" applyAlignment="1">
      <alignment horizontal="right" wrapText="1"/>
    </xf>
    <xf numFmtId="43" fontId="22" fillId="0" borderId="51" xfId="1" applyFont="1" applyFill="1" applyBorder="1" applyAlignment="1">
      <alignment horizontal="center"/>
    </xf>
    <xf numFmtId="43" fontId="17" fillId="0" borderId="51" xfId="1" applyFont="1" applyBorder="1" applyAlignment="1">
      <alignment horizontal="right" wrapText="1"/>
    </xf>
    <xf numFmtId="43" fontId="22" fillId="0" borderId="51" xfId="1" applyFont="1" applyFill="1" applyBorder="1" applyAlignment="1"/>
    <xf numFmtId="43" fontId="23" fillId="3" borderId="0" xfId="1" applyFont="1" applyFill="1" applyAlignment="1">
      <alignment horizontal="center"/>
    </xf>
    <xf numFmtId="43" fontId="23" fillId="3" borderId="0" xfId="1" applyFont="1" applyFill="1" applyBorder="1" applyAlignment="1">
      <alignment horizontal="left"/>
    </xf>
    <xf numFmtId="43" fontId="23" fillId="3" borderId="0" xfId="1" applyFont="1" applyFill="1" applyBorder="1"/>
    <xf numFmtId="43" fontId="132" fillId="0" borderId="0" xfId="1" applyFont="1" applyAlignment="1">
      <alignment horizontal="center"/>
    </xf>
    <xf numFmtId="167" fontId="134" fillId="0" borderId="0" xfId="29" applyFont="1" applyFill="1"/>
    <xf numFmtId="43" fontId="135" fillId="0" borderId="0" xfId="8" applyFont="1" applyBorder="1" applyAlignment="1">
      <alignment horizontal="right"/>
    </xf>
    <xf numFmtId="43" fontId="136" fillId="0" borderId="0" xfId="8" applyFont="1" applyBorder="1" applyAlignment="1">
      <alignment horizontal="left"/>
    </xf>
    <xf numFmtId="44" fontId="135" fillId="0" borderId="0" xfId="29" applyNumberFormat="1" applyFont="1" applyFill="1" applyBorder="1"/>
    <xf numFmtId="167" fontId="135" fillId="0" borderId="0" xfId="29" applyFont="1" applyFill="1" applyBorder="1"/>
    <xf numFmtId="43" fontId="136" fillId="0" borderId="0" xfId="8" applyFont="1" applyBorder="1" applyAlignment="1">
      <alignment horizontal="right"/>
    </xf>
    <xf numFmtId="43" fontId="135" fillId="0" borderId="0" xfId="1" applyFont="1" applyFill="1" applyBorder="1"/>
    <xf numFmtId="167" fontId="135" fillId="0" borderId="0" xfId="29" applyFont="1" applyFill="1" applyBorder="1" applyAlignment="1">
      <alignment vertical="top"/>
    </xf>
    <xf numFmtId="168" fontId="135" fillId="0" borderId="0" xfId="29" applyNumberFormat="1" applyFont="1" applyFill="1" applyBorder="1" applyAlignment="1">
      <alignment vertical="top"/>
    </xf>
    <xf numFmtId="167" fontId="41" fillId="0" borderId="0" xfId="29" applyFont="1" applyFill="1" applyBorder="1"/>
    <xf numFmtId="10" fontId="41" fillId="0" borderId="0" xfId="29" applyNumberFormat="1" applyFont="1" applyFill="1" applyBorder="1"/>
    <xf numFmtId="43" fontId="96" fillId="0" borderId="0" xfId="1" applyFont="1" applyFill="1" applyBorder="1"/>
    <xf numFmtId="10" fontId="97" fillId="0" borderId="0" xfId="2" applyNumberFormat="1" applyFont="1" applyFill="1" applyBorder="1"/>
    <xf numFmtId="43" fontId="63" fillId="0" borderId="0" xfId="8" applyFont="1" applyBorder="1" applyAlignment="1">
      <alignment horizontal="left"/>
    </xf>
    <xf numFmtId="0" fontId="63" fillId="0" borderId="0" xfId="8" applyNumberFormat="1" applyFont="1" applyBorder="1" applyAlignment="1"/>
    <xf numFmtId="176" fontId="63" fillId="0" borderId="0" xfId="8" applyNumberFormat="1" applyFont="1" applyBorder="1" applyAlignment="1">
      <alignment horizontal="right"/>
    </xf>
    <xf numFmtId="43" fontId="137" fillId="0" borderId="0" xfId="8" applyFont="1" applyBorder="1"/>
    <xf numFmtId="43" fontId="9" fillId="0" borderId="0" xfId="1" applyFont="1"/>
    <xf numFmtId="43" fontId="65" fillId="0" borderId="0" xfId="1" applyFont="1"/>
    <xf numFmtId="43" fontId="9" fillId="0" borderId="0" xfId="1" applyFont="1" applyAlignment="1">
      <alignment vertical="center"/>
    </xf>
    <xf numFmtId="43" fontId="9" fillId="0" borderId="0" xfId="1" applyFont="1" applyAlignment="1">
      <alignment vertical="top"/>
    </xf>
    <xf numFmtId="43" fontId="65" fillId="0" borderId="0" xfId="1" applyFont="1" applyAlignment="1">
      <alignment vertical="top"/>
    </xf>
    <xf numFmtId="43" fontId="33" fillId="0" borderId="0" xfId="1" applyFont="1" applyFill="1"/>
    <xf numFmtId="43" fontId="63" fillId="0" borderId="0" xfId="1" applyFont="1" applyFill="1"/>
    <xf numFmtId="43" fontId="9" fillId="0" borderId="0" xfId="1" applyFont="1" applyFill="1" applyAlignment="1"/>
    <xf numFmtId="43" fontId="9" fillId="0" borderId="0" xfId="1" applyFont="1" applyFill="1" applyAlignment="1">
      <alignment vertical="top"/>
    </xf>
    <xf numFmtId="167" fontId="139" fillId="0" borderId="0" xfId="29" applyFont="1" applyFill="1" applyBorder="1"/>
    <xf numFmtId="176" fontId="138" fillId="0" borderId="0" xfId="8" applyNumberFormat="1" applyFont="1" applyFill="1" applyBorder="1" applyAlignment="1">
      <alignment horizontal="left"/>
    </xf>
    <xf numFmtId="167" fontId="32" fillId="0" borderId="0" xfId="29" applyFont="1" applyFill="1" applyBorder="1" applyAlignment="1">
      <alignment horizontal="center" vertical="center" wrapText="1"/>
    </xf>
    <xf numFmtId="167" fontId="36" fillId="0" borderId="0" xfId="29" applyFont="1" applyFill="1" applyBorder="1" applyAlignment="1"/>
    <xf numFmtId="172" fontId="47" fillId="0" borderId="0" xfId="16" applyNumberFormat="1" applyFont="1" applyFill="1" applyBorder="1" applyAlignment="1"/>
    <xf numFmtId="172" fontId="52" fillId="0" borderId="0" xfId="8" applyNumberFormat="1" applyFont="1" applyFill="1" applyBorder="1"/>
    <xf numFmtId="172" fontId="57" fillId="0" borderId="0" xfId="16" applyNumberFormat="1" applyFont="1" applyFill="1" applyBorder="1"/>
    <xf numFmtId="10" fontId="60" fillId="0" borderId="0" xfId="5" applyNumberFormat="1" applyFont="1" applyFill="1" applyBorder="1" applyAlignment="1">
      <alignment vertical="top"/>
    </xf>
    <xf numFmtId="10" fontId="61" fillId="0" borderId="0" xfId="5" applyNumberFormat="1" applyFont="1" applyFill="1" applyBorder="1" applyAlignment="1">
      <alignment vertical="top"/>
    </xf>
    <xf numFmtId="167" fontId="140" fillId="0" borderId="0" xfId="29" applyFont="1" applyFill="1"/>
    <xf numFmtId="43" fontId="17" fillId="0" borderId="0" xfId="1" applyFont="1" applyAlignment="1">
      <alignment horizontal="center"/>
    </xf>
    <xf numFmtId="43" fontId="142" fillId="0" borderId="0" xfId="1" applyFont="1" applyBorder="1" applyAlignment="1">
      <alignment horizontal="center"/>
    </xf>
    <xf numFmtId="43" fontId="27" fillId="0" borderId="0" xfId="1" applyFont="1" applyBorder="1" applyAlignment="1">
      <alignment horizontal="center" vertical="top"/>
    </xf>
    <xf numFmtId="43" fontId="27" fillId="0" borderId="0" xfId="1" applyFont="1" applyAlignment="1">
      <alignment vertical="top"/>
    </xf>
    <xf numFmtId="43" fontId="27" fillId="0" borderId="0" xfId="1" applyFont="1" applyBorder="1" applyAlignment="1">
      <alignment vertical="top"/>
    </xf>
    <xf numFmtId="43" fontId="27" fillId="0" borderId="0" xfId="1" applyFont="1" applyBorder="1"/>
    <xf numFmtId="43" fontId="17" fillId="0" borderId="1" xfId="1" applyFont="1" applyBorder="1" applyAlignment="1">
      <alignment horizontal="center"/>
    </xf>
    <xf numFmtId="43" fontId="17" fillId="0" borderId="0" xfId="1" applyFont="1" applyBorder="1"/>
    <xf numFmtId="43" fontId="27" fillId="0" borderId="3" xfId="1" applyFont="1" applyBorder="1"/>
    <xf numFmtId="43" fontId="27" fillId="0" borderId="1" xfId="1" applyFont="1" applyBorder="1" applyAlignment="1">
      <alignment horizontal="center"/>
    </xf>
    <xf numFmtId="43" fontId="17" fillId="3" borderId="0" xfId="1" applyFont="1" applyFill="1" applyAlignment="1">
      <alignment horizontal="center"/>
    </xf>
    <xf numFmtId="43" fontId="17" fillId="0" borderId="1" xfId="1" applyFont="1" applyBorder="1"/>
    <xf numFmtId="43" fontId="27" fillId="0" borderId="0" xfId="1" applyFont="1" applyFill="1" applyAlignment="1">
      <alignment horizontal="center"/>
    </xf>
    <xf numFmtId="43" fontId="2" fillId="0" borderId="0" xfId="1" applyFont="1" applyAlignment="1">
      <alignment horizontal="right" wrapText="1"/>
    </xf>
    <xf numFmtId="43" fontId="17" fillId="0" borderId="0" xfId="1" applyFont="1" applyAlignment="1">
      <alignment horizontal="right" wrapText="1"/>
    </xf>
    <xf numFmtId="43" fontId="0" fillId="20" borderId="0" xfId="1" applyFont="1" applyFill="1"/>
    <xf numFmtId="43" fontId="99" fillId="15" borderId="0" xfId="1" applyFont="1" applyFill="1"/>
    <xf numFmtId="43" fontId="17" fillId="0" borderId="0" xfId="1" applyFont="1" applyBorder="1" applyAlignment="1">
      <alignment horizontal="right" wrapText="1"/>
    </xf>
    <xf numFmtId="43" fontId="22" fillId="0" borderId="0" xfId="1" applyFont="1" applyFill="1" applyBorder="1" applyAlignment="1"/>
    <xf numFmtId="43" fontId="2" fillId="0" borderId="3" xfId="1" applyFont="1" applyBorder="1" applyAlignment="1">
      <alignment horizontal="right" wrapText="1"/>
    </xf>
    <xf numFmtId="43" fontId="17" fillId="0" borderId="3" xfId="1" applyFont="1" applyBorder="1" applyAlignment="1">
      <alignment horizontal="right" wrapText="1"/>
    </xf>
    <xf numFmtId="43" fontId="22" fillId="0" borderId="3" xfId="1" applyFont="1" applyFill="1" applyBorder="1" applyAlignment="1"/>
    <xf numFmtId="0" fontId="3" fillId="0" borderId="0" xfId="1" applyNumberFormat="1" applyFont="1"/>
    <xf numFmtId="43" fontId="2" fillId="0" borderId="0" xfId="1" applyFont="1" applyFill="1" applyAlignment="1">
      <alignment horizontal="left"/>
    </xf>
    <xf numFmtId="43" fontId="2" fillId="0" borderId="0" xfId="1" applyFont="1" applyFill="1" applyAlignment="1">
      <alignment horizontal="center"/>
    </xf>
    <xf numFmtId="43" fontId="22" fillId="0" borderId="1" xfId="1" applyFont="1" applyBorder="1"/>
    <xf numFmtId="43" fontId="17" fillId="6" borderId="0" xfId="1" applyFont="1" applyFill="1"/>
    <xf numFmtId="43" fontId="17" fillId="15" borderId="0" xfId="1" applyFont="1" applyFill="1"/>
    <xf numFmtId="43" fontId="143" fillId="0" borderId="0" xfId="1" applyFont="1"/>
    <xf numFmtId="43" fontId="143" fillId="0" borderId="0" xfId="1" applyFont="1" applyFill="1"/>
    <xf numFmtId="43" fontId="2" fillId="0" borderId="0" xfId="1" applyFont="1" applyAlignment="1">
      <alignment wrapText="1"/>
    </xf>
    <xf numFmtId="43" fontId="22" fillId="0" borderId="0" xfId="1" applyFont="1" applyFill="1" applyAlignment="1">
      <alignment horizontal="center"/>
    </xf>
    <xf numFmtId="43" fontId="23" fillId="0" borderId="0" xfId="1" applyFont="1" applyAlignment="1">
      <alignment wrapText="1"/>
    </xf>
    <xf numFmtId="43" fontId="17" fillId="6" borderId="0" xfId="1" applyFont="1" applyFill="1" applyBorder="1" applyAlignment="1">
      <alignment horizontal="left" vertical="top"/>
    </xf>
    <xf numFmtId="43" fontId="17" fillId="0" borderId="0" xfId="1" applyFont="1" applyFill="1"/>
    <xf numFmtId="43" fontId="5" fillId="0" borderId="0" xfId="1" applyFont="1" applyAlignment="1">
      <alignment horizontal="center"/>
    </xf>
    <xf numFmtId="43" fontId="5" fillId="0" borderId="0" xfId="1" applyFont="1" applyFill="1" applyAlignment="1">
      <alignment horizontal="center"/>
    </xf>
    <xf numFmtId="167" fontId="17" fillId="0" borderId="0" xfId="0" applyFont="1"/>
    <xf numFmtId="43" fontId="2" fillId="0" borderId="0" xfId="1" applyFont="1" applyAlignment="1">
      <alignment horizontal="right" wrapText="1"/>
    </xf>
    <xf numFmtId="43" fontId="17" fillId="0" borderId="0" xfId="1" applyFont="1" applyAlignment="1">
      <alignment horizontal="right" wrapText="1"/>
    </xf>
    <xf numFmtId="169" fontId="111" fillId="0" borderId="0" xfId="2" applyNumberFormat="1" applyFont="1" applyFill="1" applyBorder="1"/>
    <xf numFmtId="169" fontId="104" fillId="0" borderId="0" xfId="2" applyNumberFormat="1" applyFont="1"/>
    <xf numFmtId="166" fontId="104" fillId="0" borderId="0" xfId="2" applyNumberFormat="1" applyFont="1"/>
    <xf numFmtId="43" fontId="14" fillId="21" borderId="0" xfId="1" applyFont="1" applyFill="1" applyAlignment="1"/>
    <xf numFmtId="43" fontId="14" fillId="21" borderId="0" xfId="1" applyFont="1" applyFill="1" applyAlignment="1">
      <alignment horizontal="center"/>
    </xf>
    <xf numFmtId="43" fontId="15" fillId="21" borderId="0" xfId="1" applyFont="1" applyFill="1"/>
    <xf numFmtId="0" fontId="0" fillId="0" borderId="0" xfId="2" applyNumberFormat="1" applyFont="1" applyBorder="1"/>
    <xf numFmtId="0" fontId="6" fillId="0" borderId="0" xfId="0" applyNumberFormat="1" applyFont="1" applyBorder="1" applyAlignment="1">
      <alignment horizontal="left"/>
    </xf>
    <xf numFmtId="0" fontId="6" fillId="0" borderId="0" xfId="0" applyNumberFormat="1" applyFont="1"/>
    <xf numFmtId="0" fontId="0" fillId="0" borderId="0" xfId="0" applyNumberFormat="1" applyFont="1"/>
    <xf numFmtId="0" fontId="14" fillId="4" borderId="0" xfId="0" applyNumberFormat="1" applyFont="1" applyFill="1" applyAlignment="1">
      <alignment horizontal="center"/>
    </xf>
    <xf numFmtId="0" fontId="2" fillId="0" borderId="0" xfId="1" applyNumberFormat="1" applyFont="1" applyFill="1" applyBorder="1" applyAlignment="1">
      <alignment horizontal="left"/>
    </xf>
    <xf numFmtId="0" fontId="5" fillId="0" borderId="0" xfId="1" applyNumberFormat="1" applyFont="1" applyBorder="1" applyAlignment="1">
      <alignment horizontal="left"/>
    </xf>
    <xf numFmtId="0" fontId="2" fillId="0" borderId="0" xfId="1" applyNumberFormat="1" applyFont="1"/>
    <xf numFmtId="0" fontId="23" fillId="0" borderId="0" xfId="1" applyNumberFormat="1" applyFont="1"/>
    <xf numFmtId="0" fontId="0" fillId="0" borderId="0" xfId="1" applyNumberFormat="1" applyFont="1"/>
    <xf numFmtId="0" fontId="2" fillId="0" borderId="0" xfId="1" applyNumberFormat="1" applyFont="1" applyBorder="1"/>
    <xf numFmtId="0" fontId="24" fillId="0" borderId="0" xfId="0" applyNumberFormat="1" applyFont="1"/>
    <xf numFmtId="0" fontId="24" fillId="0" borderId="0" xfId="1" applyNumberFormat="1" applyFont="1"/>
    <xf numFmtId="0" fontId="6" fillId="0" borderId="0" xfId="0" applyNumberFormat="1" applyFont="1" applyBorder="1"/>
    <xf numFmtId="0" fontId="0" fillId="0" borderId="0" xfId="0" applyNumberFormat="1" applyFont="1" applyBorder="1"/>
    <xf numFmtId="0" fontId="14" fillId="3" borderId="0" xfId="0" applyNumberFormat="1" applyFont="1" applyFill="1" applyAlignment="1"/>
    <xf numFmtId="0" fontId="2" fillId="0" borderId="0" xfId="2" applyNumberFormat="1" applyFont="1" applyAlignment="1">
      <alignment horizontal="left"/>
    </xf>
    <xf numFmtId="0" fontId="0" fillId="0" borderId="0" xfId="1" applyNumberFormat="1" applyFont="1" applyBorder="1"/>
    <xf numFmtId="0" fontId="2" fillId="0" borderId="0" xfId="1" applyNumberFormat="1" applyFont="1" applyBorder="1" applyAlignment="1">
      <alignment horizontal="center"/>
    </xf>
    <xf numFmtId="0" fontId="2" fillId="0" borderId="0" xfId="0" applyNumberFormat="1" applyFont="1" applyBorder="1"/>
    <xf numFmtId="0" fontId="24" fillId="0" borderId="0" xfId="1" applyNumberFormat="1" applyFont="1" applyBorder="1" applyAlignment="1">
      <alignment horizontal="center"/>
    </xf>
    <xf numFmtId="0" fontId="24" fillId="0" borderId="0" xfId="0" applyNumberFormat="1" applyFont="1" applyBorder="1"/>
    <xf numFmtId="0" fontId="114" fillId="0" borderId="0" xfId="0" applyNumberFormat="1" applyFont="1" applyBorder="1" applyAlignment="1">
      <alignment horizontal="left"/>
    </xf>
    <xf numFmtId="0" fontId="22" fillId="0" borderId="0" xfId="0" applyNumberFormat="1" applyFont="1"/>
    <xf numFmtId="0" fontId="118" fillId="4" borderId="0" xfId="0" applyNumberFormat="1" applyFont="1" applyFill="1" applyAlignment="1">
      <alignment horizontal="center"/>
    </xf>
    <xf numFmtId="0" fontId="28" fillId="0" borderId="0" xfId="1" applyNumberFormat="1" applyFont="1"/>
    <xf numFmtId="0" fontId="22" fillId="0" borderId="0" xfId="1" applyNumberFormat="1" applyFont="1"/>
    <xf numFmtId="0" fontId="28" fillId="0" borderId="0" xfId="1" applyNumberFormat="1" applyFont="1" applyBorder="1"/>
    <xf numFmtId="0" fontId="22" fillId="0" borderId="0" xfId="2" applyNumberFormat="1" applyFont="1" applyBorder="1"/>
    <xf numFmtId="0" fontId="30" fillId="0" borderId="0" xfId="0" applyNumberFormat="1" applyFont="1" applyBorder="1"/>
    <xf numFmtId="0" fontId="30" fillId="0" borderId="0" xfId="1" applyNumberFormat="1" applyFont="1" applyBorder="1"/>
    <xf numFmtId="0" fontId="22" fillId="0" borderId="0" xfId="1" applyNumberFormat="1" applyFont="1" applyBorder="1"/>
    <xf numFmtId="0" fontId="22" fillId="0" borderId="0" xfId="0" applyNumberFormat="1" applyFont="1" applyBorder="1"/>
    <xf numFmtId="0" fontId="28" fillId="0" borderId="0" xfId="0" applyNumberFormat="1" applyFont="1" applyAlignment="1">
      <alignment horizontal="right"/>
    </xf>
    <xf numFmtId="0" fontId="113" fillId="0" borderId="0" xfId="0" applyNumberFormat="1" applyFont="1" applyBorder="1"/>
    <xf numFmtId="0" fontId="28" fillId="0" borderId="0" xfId="0" applyNumberFormat="1" applyFont="1" applyBorder="1" applyAlignment="1">
      <alignment horizontal="right"/>
    </xf>
    <xf numFmtId="0" fontId="113" fillId="0" borderId="0" xfId="0" applyNumberFormat="1" applyFont="1" applyBorder="1" applyAlignment="1">
      <alignment horizontal="left"/>
    </xf>
    <xf numFmtId="0" fontId="117" fillId="0" borderId="0" xfId="0" applyNumberFormat="1" applyFont="1" applyAlignment="1">
      <alignment horizontal="left"/>
    </xf>
    <xf numFmtId="0" fontId="119" fillId="0" borderId="0" xfId="0" applyNumberFormat="1" applyFont="1"/>
    <xf numFmtId="0" fontId="28" fillId="0" borderId="0" xfId="0" applyNumberFormat="1" applyFont="1" applyAlignment="1">
      <alignment horizontal="left"/>
    </xf>
    <xf numFmtId="0" fontId="22" fillId="0" borderId="0" xfId="0" applyNumberFormat="1" applyFont="1" applyAlignment="1">
      <alignment horizontal="left"/>
    </xf>
    <xf numFmtId="0" fontId="28" fillId="0" borderId="0" xfId="0" applyNumberFormat="1" applyFont="1"/>
    <xf numFmtId="0" fontId="22" fillId="0" borderId="0" xfId="0" applyNumberFormat="1" applyFont="1" applyAlignment="1">
      <alignment horizontal="right"/>
    </xf>
    <xf numFmtId="0" fontId="28" fillId="0" borderId="0" xfId="0" applyNumberFormat="1" applyFont="1" applyBorder="1"/>
    <xf numFmtId="0" fontId="29" fillId="0" borderId="0" xfId="0" applyNumberFormat="1" applyFont="1" applyBorder="1" applyAlignment="1">
      <alignment horizontal="right"/>
    </xf>
    <xf numFmtId="0" fontId="121" fillId="0" borderId="0" xfId="2" applyNumberFormat="1" applyFont="1" applyAlignment="1">
      <alignment horizontal="right"/>
    </xf>
    <xf numFmtId="0" fontId="30" fillId="0" borderId="0" xfId="0" applyNumberFormat="1" applyFont="1" applyAlignment="1">
      <alignment horizontal="right"/>
    </xf>
    <xf numFmtId="0" fontId="28" fillId="0" borderId="0" xfId="0" applyNumberFormat="1" applyFont="1" applyBorder="1" applyAlignment="1">
      <alignment wrapText="1"/>
    </xf>
    <xf numFmtId="0" fontId="114" fillId="0" borderId="0" xfId="0" applyNumberFormat="1" applyFont="1" applyBorder="1"/>
    <xf numFmtId="0" fontId="118" fillId="3" borderId="0" xfId="0" applyNumberFormat="1" applyFont="1" applyFill="1" applyAlignment="1"/>
    <xf numFmtId="0" fontId="22" fillId="0" borderId="0" xfId="2" applyNumberFormat="1" applyFont="1" applyBorder="1" applyAlignment="1"/>
    <xf numFmtId="0" fontId="22" fillId="0" borderId="0" xfId="0" applyNumberFormat="1" applyFont="1" applyBorder="1" applyAlignment="1">
      <alignment horizontal="center"/>
    </xf>
    <xf numFmtId="0" fontId="28" fillId="0" borderId="0" xfId="2" applyNumberFormat="1" applyFont="1" applyBorder="1" applyAlignment="1">
      <alignment horizontal="center"/>
    </xf>
    <xf numFmtId="0" fontId="28" fillId="0" borderId="0" xfId="2" applyNumberFormat="1" applyFont="1" applyAlignment="1">
      <alignment horizontal="left"/>
    </xf>
    <xf numFmtId="0" fontId="28" fillId="0" borderId="0" xfId="1" applyNumberFormat="1" applyFont="1" applyBorder="1" applyAlignment="1">
      <alignment horizontal="center"/>
    </xf>
    <xf numFmtId="0" fontId="141" fillId="0" borderId="0" xfId="1" applyNumberFormat="1" applyFont="1" applyBorder="1"/>
    <xf numFmtId="0" fontId="30" fillId="0" borderId="0" xfId="1" applyNumberFormat="1" applyFont="1" applyBorder="1" applyAlignment="1">
      <alignment horizontal="center"/>
    </xf>
    <xf numFmtId="0" fontId="114" fillId="0" borderId="0" xfId="1" applyNumberFormat="1" applyFont="1" applyBorder="1"/>
    <xf numFmtId="0" fontId="115" fillId="0" borderId="0" xfId="1" applyNumberFormat="1" applyFont="1" applyBorder="1"/>
    <xf numFmtId="0" fontId="118" fillId="2" borderId="0" xfId="1" applyNumberFormat="1" applyFont="1" applyFill="1" applyAlignment="1">
      <alignment horizontal="right"/>
    </xf>
    <xf numFmtId="0" fontId="82" fillId="0" borderId="0" xfId="1" applyNumberFormat="1" applyFont="1" applyAlignment="1">
      <alignment horizontal="left"/>
    </xf>
    <xf numFmtId="0" fontId="22" fillId="0" borderId="0" xfId="1" applyNumberFormat="1" applyFont="1" applyAlignment="1">
      <alignment horizontal="left"/>
    </xf>
    <xf numFmtId="0" fontId="91" fillId="0" borderId="0" xfId="1" applyNumberFormat="1" applyFont="1" applyAlignment="1">
      <alignment horizontal="left"/>
    </xf>
    <xf numFmtId="0" fontId="82" fillId="0" borderId="0" xfId="2" applyNumberFormat="1" applyFont="1" applyAlignment="1">
      <alignment horizontal="left"/>
    </xf>
    <xf numFmtId="0" fontId="91" fillId="0" borderId="0" xfId="1" applyNumberFormat="1" applyFont="1" applyBorder="1" applyAlignment="1">
      <alignment horizontal="left"/>
    </xf>
    <xf numFmtId="0" fontId="28" fillId="0" borderId="0" xfId="1" applyNumberFormat="1" applyFont="1" applyFill="1" applyBorder="1"/>
    <xf numFmtId="0" fontId="121" fillId="0" borderId="0" xfId="1" applyNumberFormat="1" applyFont="1" applyAlignment="1">
      <alignment horizontal="left"/>
    </xf>
    <xf numFmtId="0" fontId="30" fillId="0" borderId="0" xfId="1" applyNumberFormat="1" applyFont="1"/>
    <xf numFmtId="0" fontId="115" fillId="0" borderId="0" xfId="0" applyNumberFormat="1" applyFont="1" applyBorder="1"/>
    <xf numFmtId="0" fontId="118" fillId="2" borderId="0" xfId="0" applyNumberFormat="1" applyFont="1" applyFill="1" applyAlignment="1">
      <alignment horizontal="right"/>
    </xf>
    <xf numFmtId="0" fontId="82" fillId="0" borderId="0" xfId="0" applyNumberFormat="1" applyFont="1" applyAlignment="1">
      <alignment horizontal="left"/>
    </xf>
    <xf numFmtId="0" fontId="91" fillId="0" borderId="0" xfId="0" applyNumberFormat="1" applyFont="1" applyAlignment="1">
      <alignment horizontal="left"/>
    </xf>
    <xf numFmtId="0" fontId="91" fillId="0" borderId="0" xfId="0" applyNumberFormat="1" applyFont="1" applyBorder="1" applyAlignment="1">
      <alignment horizontal="left"/>
    </xf>
    <xf numFmtId="0" fontId="121" fillId="0" borderId="0" xfId="0" applyNumberFormat="1" applyFont="1" applyAlignment="1">
      <alignment horizontal="left"/>
    </xf>
    <xf numFmtId="0" fontId="30" fillId="0" borderId="0" xfId="0" applyNumberFormat="1" applyFont="1"/>
    <xf numFmtId="0" fontId="18" fillId="0" borderId="0" xfId="0" applyNumberFormat="1" applyFont="1"/>
    <xf numFmtId="0" fontId="19" fillId="0" borderId="0" xfId="1" applyNumberFormat="1" applyFont="1" applyFill="1" applyBorder="1" applyAlignment="1">
      <alignment horizontal="left"/>
    </xf>
    <xf numFmtId="0" fontId="2" fillId="0" borderId="0" xfId="0" applyNumberFormat="1" applyFont="1" applyAlignment="1">
      <alignment horizontal="right"/>
    </xf>
    <xf numFmtId="0" fontId="11" fillId="0" borderId="0" xfId="0" applyNumberFormat="1" applyFont="1" applyBorder="1"/>
    <xf numFmtId="0" fontId="2" fillId="0" borderId="0" xfId="0" applyNumberFormat="1" applyFont="1" applyBorder="1" applyAlignment="1">
      <alignment horizontal="right"/>
    </xf>
    <xf numFmtId="0" fontId="11" fillId="0" borderId="0" xfId="0" applyNumberFormat="1" applyFont="1" applyBorder="1" applyAlignment="1">
      <alignment horizontal="left"/>
    </xf>
    <xf numFmtId="0" fontId="16" fillId="0" borderId="0" xfId="0" applyNumberFormat="1" applyFont="1" applyAlignment="1">
      <alignment horizontal="left"/>
    </xf>
    <xf numFmtId="0" fontId="15" fillId="0" borderId="0" xfId="0" applyNumberFormat="1" applyFont="1"/>
    <xf numFmtId="0" fontId="2" fillId="0" borderId="0" xfId="0" applyNumberFormat="1" applyFont="1" applyAlignment="1">
      <alignment horizontal="left"/>
    </xf>
    <xf numFmtId="0" fontId="0" fillId="0" borderId="0" xfId="2" applyNumberFormat="1" applyFont="1" applyAlignment="1">
      <alignment horizontal="right"/>
    </xf>
    <xf numFmtId="0" fontId="2" fillId="0" borderId="0" xfId="0" applyNumberFormat="1" applyFont="1"/>
    <xf numFmtId="0" fontId="0" fillId="0" borderId="0" xfId="0" applyNumberFormat="1" applyFont="1" applyAlignment="1">
      <alignment horizontal="right"/>
    </xf>
    <xf numFmtId="0" fontId="2" fillId="0" borderId="0" xfId="0" applyNumberFormat="1" applyFont="1" applyBorder="1" applyAlignment="1">
      <alignment horizontal="left"/>
    </xf>
    <xf numFmtId="0" fontId="0" fillId="0" borderId="0" xfId="0" applyNumberFormat="1" applyFont="1" applyAlignment="1">
      <alignment horizontal="left"/>
    </xf>
    <xf numFmtId="0" fontId="25" fillId="0" borderId="0" xfId="0" applyNumberFormat="1" applyFont="1" applyBorder="1" applyAlignment="1">
      <alignment horizontal="right"/>
    </xf>
    <xf numFmtId="0" fontId="26" fillId="0" borderId="0" xfId="2" applyNumberFormat="1" applyFont="1" applyAlignment="1">
      <alignment horizontal="right"/>
    </xf>
    <xf numFmtId="0" fontId="24" fillId="0" borderId="0" xfId="0" applyNumberFormat="1" applyFont="1" applyAlignment="1">
      <alignment horizontal="right"/>
    </xf>
    <xf numFmtId="0" fontId="2" fillId="0" borderId="0" xfId="0" applyNumberFormat="1" applyFont="1" applyBorder="1" applyAlignment="1">
      <alignment wrapText="1"/>
    </xf>
    <xf numFmtId="0" fontId="14" fillId="2" borderId="0" xfId="0" applyNumberFormat="1" applyFont="1" applyFill="1" applyAlignment="1">
      <alignment horizontal="right"/>
    </xf>
    <xf numFmtId="0" fontId="7" fillId="0" borderId="0" xfId="0" applyNumberFormat="1" applyFont="1" applyAlignment="1">
      <alignment horizontal="left"/>
    </xf>
    <xf numFmtId="0" fontId="6" fillId="0" borderId="0" xfId="0" applyNumberFormat="1" applyFont="1" applyAlignment="1">
      <alignment horizontal="left"/>
    </xf>
    <xf numFmtId="0" fontId="6" fillId="0" borderId="0" xfId="2" applyNumberFormat="1" applyFont="1" applyAlignment="1">
      <alignment horizontal="left"/>
    </xf>
    <xf numFmtId="0" fontId="7" fillId="0" borderId="0" xfId="0" applyNumberFormat="1" applyFont="1" applyBorder="1" applyAlignment="1">
      <alignment horizontal="left"/>
    </xf>
    <xf numFmtId="0" fontId="26" fillId="0" borderId="0" xfId="0" applyNumberFormat="1" applyFont="1" applyAlignment="1">
      <alignment horizontal="left"/>
    </xf>
    <xf numFmtId="0" fontId="18" fillId="0" borderId="0" xfId="2" applyNumberFormat="1" applyFont="1"/>
    <xf numFmtId="0" fontId="19" fillId="0" borderId="0" xfId="2" applyNumberFormat="1" applyFont="1" applyFill="1" applyBorder="1" applyAlignment="1">
      <alignment horizontal="left"/>
    </xf>
    <xf numFmtId="0" fontId="27" fillId="0" borderId="0" xfId="1" applyNumberFormat="1" applyFont="1" applyBorder="1"/>
    <xf numFmtId="0" fontId="0" fillId="0" borderId="0" xfId="1" applyNumberFormat="1" applyFont="1" applyFill="1"/>
    <xf numFmtId="0" fontId="2" fillId="0" borderId="0" xfId="1" applyNumberFormat="1" applyFont="1" applyFill="1" applyBorder="1"/>
    <xf numFmtId="0" fontId="0" fillId="0" borderId="0" xfId="2" applyNumberFormat="1" applyFont="1" applyFill="1" applyBorder="1"/>
    <xf numFmtId="0" fontId="27" fillId="0" borderId="0" xfId="1" applyNumberFormat="1" applyFont="1" applyFill="1" applyBorder="1"/>
    <xf numFmtId="0" fontId="0" fillId="0" borderId="0" xfId="1" applyNumberFormat="1" applyFont="1" applyFill="1" applyBorder="1"/>
    <xf numFmtId="0" fontId="0" fillId="0" borderId="0" xfId="1" applyNumberFormat="1" applyFont="1" applyFill="1" applyBorder="1" applyAlignment="1">
      <alignment horizontal="left"/>
    </xf>
    <xf numFmtId="0" fontId="2" fillId="0" borderId="0" xfId="1" applyNumberFormat="1" applyFont="1" applyFill="1" applyBorder="1" applyAlignment="1">
      <alignment horizontal="center"/>
    </xf>
    <xf numFmtId="0" fontId="144" fillId="6" borderId="0" xfId="0" applyNumberFormat="1" applyFont="1" applyFill="1" applyBorder="1"/>
    <xf numFmtId="0" fontId="0" fillId="8" borderId="0" xfId="2" applyNumberFormat="1" applyFont="1" applyFill="1" applyBorder="1"/>
    <xf numFmtId="0" fontId="1" fillId="8" borderId="0" xfId="1" applyNumberFormat="1" applyFont="1" applyFill="1" applyBorder="1" applyAlignment="1">
      <alignment horizontal="left"/>
    </xf>
    <xf numFmtId="0" fontId="132" fillId="8" borderId="0" xfId="1" applyNumberFormat="1" applyFont="1" applyFill="1" applyBorder="1" applyAlignment="1">
      <alignment horizontal="left"/>
    </xf>
    <xf numFmtId="0" fontId="2" fillId="0" borderId="0" xfId="1" applyNumberFormat="1" applyFont="1" applyBorder="1" applyAlignment="1">
      <alignment horizontal="left"/>
    </xf>
    <xf numFmtId="0" fontId="6" fillId="0" borderId="0" xfId="0" applyNumberFormat="1" applyFont="1" applyFill="1" applyAlignment="1">
      <alignment horizontal="left"/>
    </xf>
    <xf numFmtId="0" fontId="6" fillId="0" borderId="0" xfId="2" applyNumberFormat="1" applyFont="1" applyFill="1" applyAlignment="1">
      <alignment horizontal="left"/>
    </xf>
    <xf numFmtId="0" fontId="7" fillId="0" borderId="0" xfId="0" applyNumberFormat="1" applyFont="1" applyFill="1" applyBorder="1" applyAlignment="1">
      <alignment horizontal="left"/>
    </xf>
    <xf numFmtId="0" fontId="22" fillId="0" borderId="0" xfId="1" applyNumberFormat="1" applyFont="1" applyFill="1" applyBorder="1"/>
    <xf numFmtId="0" fontId="28" fillId="0" borderId="0" xfId="1" applyNumberFormat="1" applyFont="1" applyFill="1" applyBorder="1" applyAlignment="1">
      <alignment horizontal="center"/>
    </xf>
    <xf numFmtId="0" fontId="22" fillId="0" borderId="0" xfId="2" applyNumberFormat="1" applyFont="1" applyFill="1" applyBorder="1"/>
    <xf numFmtId="0" fontId="28" fillId="0" borderId="0" xfId="0" applyNumberFormat="1" applyFont="1" applyFill="1" applyBorder="1"/>
    <xf numFmtId="0" fontId="82" fillId="0" borderId="0" xfId="0" applyNumberFormat="1" applyFont="1" applyFill="1" applyAlignment="1">
      <alignment horizontal="left"/>
    </xf>
    <xf numFmtId="0" fontId="91" fillId="0" borderId="0" xfId="0" applyNumberFormat="1" applyFont="1" applyFill="1" applyBorder="1" applyAlignment="1">
      <alignment horizontal="left"/>
    </xf>
    <xf numFmtId="0" fontId="1" fillId="0" borderId="0" xfId="1" applyNumberFormat="1" applyFont="1" applyBorder="1" applyAlignment="1">
      <alignment horizontal="right"/>
    </xf>
    <xf numFmtId="0" fontId="6" fillId="0" borderId="0" xfId="0" applyNumberFormat="1" applyFont="1" applyAlignment="1">
      <alignment horizontal="right"/>
    </xf>
    <xf numFmtId="0" fontId="6" fillId="0" borderId="0" xfId="2" applyNumberFormat="1" applyFont="1" applyAlignment="1">
      <alignment horizontal="right"/>
    </xf>
    <xf numFmtId="0" fontId="2" fillId="0" borderId="0" xfId="2" applyNumberFormat="1" applyFont="1" applyBorder="1"/>
    <xf numFmtId="0" fontId="112" fillId="0" borderId="0" xfId="1" applyNumberFormat="1" applyFont="1" applyBorder="1"/>
    <xf numFmtId="0" fontId="112" fillId="0" borderId="0" xfId="2" applyNumberFormat="1" applyFont="1" applyBorder="1"/>
    <xf numFmtId="0" fontId="6" fillId="0" borderId="0" xfId="1" applyNumberFormat="1" applyFont="1" applyBorder="1" applyAlignment="1">
      <alignment horizontal="left"/>
    </xf>
    <xf numFmtId="0" fontId="6" fillId="0" borderId="0" xfId="1" applyNumberFormat="1" applyFont="1"/>
    <xf numFmtId="0" fontId="14" fillId="4" borderId="0" xfId="1" applyNumberFormat="1" applyFont="1" applyFill="1" applyAlignment="1">
      <alignment horizontal="center"/>
    </xf>
    <xf numFmtId="0" fontId="18" fillId="0" borderId="0" xfId="1" applyNumberFormat="1" applyFont="1"/>
    <xf numFmtId="0" fontId="27" fillId="0" borderId="0" xfId="1" applyNumberFormat="1" applyFont="1"/>
    <xf numFmtId="0" fontId="2" fillId="0" borderId="0" xfId="1" applyNumberFormat="1" applyFont="1" applyAlignment="1">
      <alignment horizontal="right"/>
    </xf>
    <xf numFmtId="0" fontId="11" fillId="0" borderId="0" xfId="1" applyNumberFormat="1" applyFont="1" applyBorder="1"/>
    <xf numFmtId="0" fontId="2" fillId="0" borderId="0" xfId="1" applyNumberFormat="1" applyFont="1" applyBorder="1" applyAlignment="1">
      <alignment horizontal="right"/>
    </xf>
    <xf numFmtId="0" fontId="11" fillId="0" borderId="0" xfId="1" applyNumberFormat="1" applyFont="1" applyBorder="1" applyAlignment="1">
      <alignment horizontal="left"/>
    </xf>
    <xf numFmtId="0" fontId="16" fillId="0" borderId="0" xfId="1" applyNumberFormat="1" applyFont="1" applyAlignment="1">
      <alignment horizontal="left"/>
    </xf>
    <xf numFmtId="0" fontId="15" fillId="0" borderId="0" xfId="1" applyNumberFormat="1" applyFont="1"/>
    <xf numFmtId="0" fontId="2" fillId="0" borderId="0" xfId="1" applyNumberFormat="1" applyFont="1" applyAlignment="1">
      <alignment horizontal="left"/>
    </xf>
    <xf numFmtId="0" fontId="1" fillId="0" borderId="0" xfId="1" applyNumberFormat="1" applyFont="1" applyAlignment="1">
      <alignment horizontal="right"/>
    </xf>
    <xf numFmtId="0" fontId="27" fillId="0" borderId="0" xfId="1" applyNumberFormat="1" applyFont="1" applyAlignment="1">
      <alignment horizontal="right"/>
    </xf>
    <xf numFmtId="0" fontId="22" fillId="0" borderId="0" xfId="1" applyNumberFormat="1" applyFont="1" applyAlignment="1">
      <alignment horizontal="right"/>
    </xf>
    <xf numFmtId="0" fontId="0" fillId="0" borderId="0" xfId="1" applyNumberFormat="1" applyFont="1" applyAlignment="1">
      <alignment horizontal="right"/>
    </xf>
    <xf numFmtId="0" fontId="33" fillId="0" borderId="0" xfId="0" applyNumberFormat="1" applyFont="1" applyFill="1" applyBorder="1"/>
    <xf numFmtId="0" fontId="33" fillId="0" borderId="0" xfId="0" applyNumberFormat="1" applyFont="1" applyFill="1"/>
    <xf numFmtId="0" fontId="25" fillId="0" borderId="0" xfId="1" applyNumberFormat="1" applyFont="1" applyBorder="1" applyAlignment="1">
      <alignment horizontal="right"/>
    </xf>
    <xf numFmtId="0" fontId="26" fillId="0" borderId="0" xfId="1" applyNumberFormat="1" applyFont="1" applyAlignment="1">
      <alignment horizontal="right"/>
    </xf>
    <xf numFmtId="0" fontId="2" fillId="0" borderId="0" xfId="1" applyNumberFormat="1" applyFont="1" applyBorder="1" applyAlignment="1">
      <alignment wrapText="1"/>
    </xf>
    <xf numFmtId="0" fontId="6" fillId="0" borderId="0" xfId="1" applyNumberFormat="1" applyFont="1" applyBorder="1"/>
    <xf numFmtId="0" fontId="14" fillId="3" borderId="0" xfId="1" applyNumberFormat="1" applyFont="1" applyFill="1" applyAlignment="1"/>
    <xf numFmtId="0" fontId="24" fillId="0" borderId="0" xfId="1" applyNumberFormat="1" applyFont="1" applyBorder="1"/>
    <xf numFmtId="0" fontId="7" fillId="0" borderId="0" xfId="1" applyNumberFormat="1" applyFont="1" applyAlignment="1">
      <alignment horizontal="left"/>
    </xf>
    <xf numFmtId="0" fontId="6" fillId="0" borderId="0" xfId="1" applyNumberFormat="1" applyFont="1" applyAlignment="1">
      <alignment horizontal="left"/>
    </xf>
    <xf numFmtId="0" fontId="7" fillId="0" borderId="0" xfId="1" applyNumberFormat="1" applyFont="1" applyBorder="1" applyAlignment="1">
      <alignment horizontal="left"/>
    </xf>
    <xf numFmtId="0" fontId="26" fillId="0" borderId="0" xfId="1" applyNumberFormat="1" applyFont="1" applyAlignment="1">
      <alignment horizontal="left"/>
    </xf>
    <xf numFmtId="10" fontId="2" fillId="0" borderId="0" xfId="2" applyNumberFormat="1" applyFont="1" applyAlignment="1">
      <alignment horizontal="left"/>
    </xf>
    <xf numFmtId="43" fontId="23" fillId="0" borderId="0" xfId="1" applyFont="1" applyAlignment="1">
      <alignment horizontal="center"/>
    </xf>
    <xf numFmtId="9" fontId="0" fillId="0" borderId="0" xfId="2" applyFont="1" applyAlignment="1">
      <alignment horizontal="right"/>
    </xf>
    <xf numFmtId="0" fontId="30" fillId="0" borderId="0" xfId="0" applyNumberFormat="1" applyFont="1" applyBorder="1" applyAlignment="1">
      <alignment vertical="top"/>
    </xf>
    <xf numFmtId="43" fontId="145" fillId="0" borderId="0" xfId="1" applyFont="1"/>
    <xf numFmtId="0" fontId="145" fillId="0" borderId="0" xfId="0" applyNumberFormat="1" applyFont="1" applyBorder="1" applyAlignment="1">
      <alignment horizontal="left"/>
    </xf>
    <xf numFmtId="43" fontId="99" fillId="0" borderId="0" xfId="1" applyFont="1" applyAlignment="1">
      <alignment horizontal="center"/>
    </xf>
    <xf numFmtId="43" fontId="146" fillId="0" borderId="0" xfId="1" applyFont="1"/>
    <xf numFmtId="0" fontId="146" fillId="0" borderId="0" xfId="0" applyNumberFormat="1" applyFont="1" applyBorder="1"/>
    <xf numFmtId="43" fontId="147" fillId="0" borderId="0" xfId="1" applyFont="1"/>
    <xf numFmtId="0" fontId="147" fillId="0" borderId="0" xfId="0" applyNumberFormat="1" applyFont="1" applyBorder="1"/>
    <xf numFmtId="43" fontId="148" fillId="0" borderId="0" xfId="1" applyFont="1"/>
    <xf numFmtId="0" fontId="148" fillId="0" borderId="0" xfId="0" applyNumberFormat="1" applyFont="1" applyBorder="1"/>
    <xf numFmtId="0" fontId="144" fillId="0" borderId="0" xfId="0" applyNumberFormat="1" applyFont="1" applyFill="1" applyBorder="1"/>
    <xf numFmtId="169" fontId="18" fillId="0" borderId="0" xfId="2" applyNumberFormat="1" applyFont="1" applyAlignment="1">
      <alignment horizontal="left"/>
    </xf>
    <xf numFmtId="43" fontId="14" fillId="4" borderId="0" xfId="1" applyFont="1" applyFill="1" applyAlignment="1">
      <alignment horizontal="center"/>
    </xf>
    <xf numFmtId="10" fontId="0" fillId="0" borderId="0" xfId="1" applyNumberFormat="1" applyFont="1" applyAlignment="1">
      <alignment horizontal="left"/>
    </xf>
    <xf numFmtId="168" fontId="0" fillId="0" borderId="0" xfId="1" applyNumberFormat="1" applyFont="1" applyFill="1" applyBorder="1" applyAlignment="1">
      <alignment horizontal="center"/>
    </xf>
    <xf numFmtId="0" fontId="1" fillId="0" borderId="0" xfId="45"/>
    <xf numFmtId="49" fontId="1" fillId="0" borderId="0" xfId="45" applyNumberFormat="1"/>
    <xf numFmtId="43" fontId="1" fillId="0" borderId="0" xfId="1"/>
    <xf numFmtId="0" fontId="0" fillId="0" borderId="0" xfId="45" applyFont="1"/>
    <xf numFmtId="4" fontId="1" fillId="0" borderId="0" xfId="46" applyNumberFormat="1"/>
    <xf numFmtId="4" fontId="1" fillId="0" borderId="0" xfId="47" applyNumberFormat="1"/>
    <xf numFmtId="43" fontId="24" fillId="0" borderId="0" xfId="1" applyFont="1" applyBorder="1"/>
    <xf numFmtId="0" fontId="26" fillId="0" borderId="0" xfId="1" applyNumberFormat="1" applyFont="1" applyBorder="1" applyAlignment="1">
      <alignment horizontal="left"/>
    </xf>
    <xf numFmtId="0" fontId="24" fillId="0" borderId="0" xfId="1" applyNumberFormat="1" applyFont="1" applyBorder="1" applyAlignment="1">
      <alignment horizontal="right"/>
    </xf>
    <xf numFmtId="43" fontId="24" fillId="0" borderId="0" xfId="1" applyFont="1" applyBorder="1" applyAlignment="1">
      <alignment horizontal="right"/>
    </xf>
    <xf numFmtId="0" fontId="11" fillId="0" borderId="0" xfId="0" quotePrefix="1" applyNumberFormat="1" applyFont="1" applyBorder="1" applyAlignment="1">
      <alignment horizontal="left"/>
    </xf>
    <xf numFmtId="10" fontId="0" fillId="0" borderId="0" xfId="2" applyNumberFormat="1" applyFont="1" applyAlignment="1">
      <alignment horizontal="left"/>
    </xf>
    <xf numFmtId="169" fontId="22" fillId="0" borderId="0" xfId="2" applyNumberFormat="1" applyFont="1" applyAlignment="1">
      <alignment horizontal="left"/>
    </xf>
    <xf numFmtId="169" fontId="0" fillId="0" borderId="0" xfId="2" applyNumberFormat="1" applyFont="1" applyAlignment="1">
      <alignment horizontal="right"/>
    </xf>
    <xf numFmtId="169" fontId="0" fillId="0" borderId="0" xfId="2" applyNumberFormat="1" applyFont="1" applyAlignment="1">
      <alignment horizontal="left"/>
    </xf>
    <xf numFmtId="0" fontId="0" fillId="0" borderId="0" xfId="0" applyNumberFormat="1" applyFont="1" applyFill="1"/>
    <xf numFmtId="0" fontId="14" fillId="0" borderId="0" xfId="0" applyNumberFormat="1" applyFont="1" applyFill="1" applyAlignment="1">
      <alignment horizontal="center"/>
    </xf>
    <xf numFmtId="0" fontId="5" fillId="0" borderId="0" xfId="1" applyNumberFormat="1" applyFont="1" applyFill="1" applyBorder="1" applyAlignment="1">
      <alignment horizontal="left"/>
    </xf>
    <xf numFmtId="0" fontId="2" fillId="0" borderId="0" xfId="0" applyNumberFormat="1" applyFont="1" applyFill="1" applyBorder="1"/>
    <xf numFmtId="0" fontId="0" fillId="0" borderId="0" xfId="1" applyNumberFormat="1" applyFont="1" applyFill="1" applyBorder="1" applyAlignment="1">
      <alignment horizontal="center"/>
    </xf>
    <xf numFmtId="0" fontId="0" fillId="0" borderId="0" xfId="0" applyNumberFormat="1" applyFont="1" applyFill="1" applyBorder="1"/>
    <xf numFmtId="0" fontId="24" fillId="0" borderId="0" xfId="0" applyNumberFormat="1" applyFont="1" applyFill="1"/>
    <xf numFmtId="0" fontId="24" fillId="0" borderId="0" xfId="1" applyNumberFormat="1" applyFont="1" applyFill="1" applyBorder="1"/>
    <xf numFmtId="172" fontId="101" fillId="18" borderId="81" xfId="44" applyNumberFormat="1" applyFont="1" applyFill="1" applyBorder="1" applyAlignment="1">
      <alignment horizontal="center"/>
    </xf>
    <xf numFmtId="172" fontId="101" fillId="18" borderId="90" xfId="44" applyNumberFormat="1" applyFont="1" applyFill="1" applyBorder="1" applyAlignment="1">
      <alignment horizontal="center"/>
    </xf>
    <xf numFmtId="172" fontId="101" fillId="18" borderId="30" xfId="44" applyNumberFormat="1" applyFont="1" applyFill="1" applyBorder="1" applyAlignment="1">
      <alignment horizontal="center"/>
    </xf>
    <xf numFmtId="172" fontId="101" fillId="18" borderId="64" xfId="44" applyNumberFormat="1" applyFont="1" applyFill="1" applyBorder="1" applyAlignment="1">
      <alignment horizontal="center"/>
    </xf>
    <xf numFmtId="172" fontId="4" fillId="0" borderId="0" xfId="44" applyNumberFormat="1" applyFont="1" applyFill="1"/>
    <xf numFmtId="172" fontId="101" fillId="18" borderId="82" xfId="44" applyNumberFormat="1" applyFont="1" applyFill="1" applyBorder="1" applyAlignment="1">
      <alignment horizontal="center"/>
    </xf>
    <xf numFmtId="172" fontId="101" fillId="18" borderId="91" xfId="44" applyNumberFormat="1" applyFont="1" applyFill="1" applyBorder="1" applyAlignment="1">
      <alignment horizontal="center"/>
    </xf>
    <xf numFmtId="172" fontId="101" fillId="18" borderId="31" xfId="44" applyNumberFormat="1" applyFont="1" applyFill="1" applyBorder="1" applyAlignment="1">
      <alignment horizontal="center"/>
    </xf>
    <xf numFmtId="172" fontId="101" fillId="18" borderId="63" xfId="44" applyNumberFormat="1" applyFont="1" applyFill="1" applyBorder="1" applyAlignment="1">
      <alignment horizontal="center"/>
    </xf>
    <xf numFmtId="172" fontId="4" fillId="0" borderId="83" xfId="44" applyNumberFormat="1" applyFont="1" applyFill="1" applyBorder="1"/>
    <xf numFmtId="172" fontId="4" fillId="0" borderId="92" xfId="44" applyNumberFormat="1" applyFont="1" applyFill="1" applyBorder="1"/>
    <xf numFmtId="172" fontId="4" fillId="0" borderId="34" xfId="44" applyNumberFormat="1" applyFont="1" applyFill="1" applyBorder="1"/>
    <xf numFmtId="172" fontId="4" fillId="0" borderId="77" xfId="44" applyNumberFormat="1" applyFont="1" applyFill="1" applyBorder="1"/>
    <xf numFmtId="172" fontId="4" fillId="0" borderId="84" xfId="44" applyNumberFormat="1" applyFont="1" applyFill="1" applyBorder="1"/>
    <xf numFmtId="172" fontId="4" fillId="0" borderId="93" xfId="44" applyNumberFormat="1" applyFont="1" applyFill="1" applyBorder="1"/>
    <xf numFmtId="172" fontId="4" fillId="0" borderId="37" xfId="44" applyNumberFormat="1" applyFont="1" applyFill="1" applyBorder="1"/>
    <xf numFmtId="172" fontId="4" fillId="0" borderId="78" xfId="44" applyNumberFormat="1" applyFont="1" applyFill="1" applyBorder="1"/>
    <xf numFmtId="172" fontId="4" fillId="0" borderId="85" xfId="44" applyNumberFormat="1" applyFont="1" applyFill="1" applyBorder="1"/>
    <xf numFmtId="172" fontId="4" fillId="0" borderId="94" xfId="44" applyNumberFormat="1" applyFont="1" applyFill="1" applyBorder="1"/>
    <xf numFmtId="172" fontId="4" fillId="0" borderId="39" xfId="44" applyNumberFormat="1" applyFont="1" applyFill="1" applyBorder="1"/>
    <xf numFmtId="172" fontId="4" fillId="0" borderId="79" xfId="44" applyNumberFormat="1" applyFont="1" applyFill="1" applyBorder="1"/>
    <xf numFmtId="172" fontId="4" fillId="0" borderId="2" xfId="44" applyNumberFormat="1" applyFont="1" applyFill="1" applyBorder="1"/>
    <xf numFmtId="172" fontId="4" fillId="0" borderId="80" xfId="44" applyNumberFormat="1" applyFont="1" applyFill="1" applyBorder="1"/>
    <xf numFmtId="172" fontId="4" fillId="0" borderId="41" xfId="44" applyNumberFormat="1" applyFont="1" applyFill="1" applyBorder="1"/>
    <xf numFmtId="172" fontId="4" fillId="0" borderId="51" xfId="44" applyNumberFormat="1" applyFont="1" applyFill="1" applyBorder="1"/>
    <xf numFmtId="172" fontId="4" fillId="0" borderId="86" xfId="44" applyNumberFormat="1" applyFont="1" applyFill="1" applyBorder="1"/>
    <xf numFmtId="172" fontId="4" fillId="0" borderId="95" xfId="44" applyNumberFormat="1" applyFont="1" applyFill="1" applyBorder="1"/>
    <xf numFmtId="172" fontId="4" fillId="0" borderId="43" xfId="44" applyNumberFormat="1" applyFont="1" applyFill="1" applyBorder="1"/>
    <xf numFmtId="172" fontId="4" fillId="0" borderId="52" xfId="44" applyNumberFormat="1" applyFont="1" applyFill="1" applyBorder="1"/>
    <xf numFmtId="172" fontId="4" fillId="0" borderId="11" xfId="44" applyNumberFormat="1" applyFont="1" applyFill="1" applyBorder="1"/>
    <xf numFmtId="172" fontId="4" fillId="0" borderId="81" xfId="44" applyNumberFormat="1" applyFont="1" applyFill="1" applyBorder="1"/>
    <xf numFmtId="172" fontId="4" fillId="0" borderId="90" xfId="44" applyNumberFormat="1" applyFont="1" applyFill="1" applyBorder="1"/>
    <xf numFmtId="172" fontId="4" fillId="0" borderId="30" xfId="44" applyNumberFormat="1" applyFont="1" applyFill="1" applyBorder="1"/>
    <xf numFmtId="172" fontId="4" fillId="0" borderId="64" xfId="44" applyNumberFormat="1" applyFont="1" applyFill="1" applyBorder="1"/>
    <xf numFmtId="172" fontId="4" fillId="0" borderId="87" xfId="44" applyNumberFormat="1" applyFont="1" applyFill="1" applyBorder="1"/>
    <xf numFmtId="172" fontId="4" fillId="0" borderId="88" xfId="44" applyNumberFormat="1" applyFont="1" applyFill="1" applyBorder="1"/>
    <xf numFmtId="172" fontId="4" fillId="0" borderId="89" xfId="44" applyNumberFormat="1" applyFont="1" applyFill="1" applyBorder="1"/>
    <xf numFmtId="172" fontId="4" fillId="0" borderId="96" xfId="44" applyNumberFormat="1" applyFont="1" applyFill="1" applyBorder="1"/>
    <xf numFmtId="172" fontId="4" fillId="0" borderId="45" xfId="44" applyNumberFormat="1" applyFont="1" applyFill="1" applyBorder="1"/>
    <xf numFmtId="172" fontId="4" fillId="0" borderId="82" xfId="44" applyNumberFormat="1" applyFont="1" applyFill="1" applyBorder="1"/>
    <xf numFmtId="172" fontId="4" fillId="0" borderId="91" xfId="44" applyNumberFormat="1" applyFont="1" applyFill="1" applyBorder="1"/>
    <xf numFmtId="172" fontId="4" fillId="0" borderId="31" xfId="44" applyNumberFormat="1" applyFont="1" applyFill="1" applyBorder="1"/>
    <xf numFmtId="172" fontId="4" fillId="0" borderId="7" xfId="44" applyNumberFormat="1" applyFont="1" applyFill="1" applyBorder="1"/>
    <xf numFmtId="43" fontId="6" fillId="0" borderId="0" xfId="1" applyFont="1" applyBorder="1" applyAlignment="1">
      <alignment horizontal="center"/>
    </xf>
    <xf numFmtId="43" fontId="6" fillId="0" borderId="0" xfId="1" applyFont="1" applyBorder="1"/>
    <xf numFmtId="43" fontId="7" fillId="0" borderId="0" xfId="1" applyFont="1" applyBorder="1"/>
    <xf numFmtId="167" fontId="6" fillId="0" borderId="0" xfId="0" applyFont="1" applyBorder="1"/>
    <xf numFmtId="9" fontId="17" fillId="0" borderId="0" xfId="1" applyNumberFormat="1" applyFont="1"/>
    <xf numFmtId="176" fontId="149" fillId="0" borderId="0" xfId="0" applyNumberFormat="1" applyFont="1" applyAlignment="1">
      <alignment horizontal="left"/>
    </xf>
    <xf numFmtId="176" fontId="6" fillId="0" borderId="0" xfId="0" applyNumberFormat="1" applyFont="1" applyAlignment="1">
      <alignment horizontal="left"/>
    </xf>
    <xf numFmtId="10" fontId="18" fillId="0" borderId="0" xfId="0" applyNumberFormat="1" applyFont="1" applyAlignment="1">
      <alignment horizontal="left"/>
    </xf>
    <xf numFmtId="0" fontId="22" fillId="0" borderId="0" xfId="2" applyNumberFormat="1" applyFont="1" applyAlignment="1">
      <alignment horizontal="left"/>
    </xf>
    <xf numFmtId="43" fontId="1" fillId="0" borderId="0" xfId="1" applyFont="1" applyBorder="1" applyAlignment="1">
      <alignment horizontal="center"/>
    </xf>
    <xf numFmtId="0" fontId="0" fillId="0" borderId="0" xfId="0" applyNumberFormat="1" applyFont="1" applyBorder="1" applyAlignment="1">
      <alignment horizontal="left"/>
    </xf>
    <xf numFmtId="43" fontId="1" fillId="0" borderId="0" xfId="1" applyFont="1" applyBorder="1"/>
    <xf numFmtId="43" fontId="1" fillId="0" borderId="0" xfId="1" applyFont="1" applyBorder="1" applyAlignment="1">
      <alignment horizontal="left"/>
    </xf>
    <xf numFmtId="43" fontId="150" fillId="0" borderId="0" xfId="1" applyFont="1" applyBorder="1" applyAlignment="1">
      <alignment horizontal="left"/>
    </xf>
    <xf numFmtId="43" fontId="119" fillId="0" borderId="0" xfId="1" applyFont="1" applyFill="1"/>
    <xf numFmtId="10" fontId="2" fillId="0" borderId="2" xfId="2" applyNumberFormat="1" applyFont="1" applyBorder="1" applyAlignment="1">
      <alignment horizontal="center"/>
    </xf>
    <xf numFmtId="0" fontId="6" fillId="0" borderId="0" xfId="0" applyNumberFormat="1" applyFont="1" applyFill="1" applyBorder="1" applyAlignment="1">
      <alignment horizontal="left"/>
    </xf>
    <xf numFmtId="167" fontId="6" fillId="0" borderId="0" xfId="0" applyFont="1" applyFill="1" applyBorder="1" applyAlignment="1">
      <alignment horizontal="left"/>
    </xf>
    <xf numFmtId="43" fontId="6" fillId="0" borderId="0" xfId="1" applyFont="1" applyFill="1" applyBorder="1" applyAlignment="1">
      <alignment horizontal="left"/>
    </xf>
    <xf numFmtId="43" fontId="13" fillId="0" borderId="0" xfId="1" applyFont="1" applyFill="1" applyBorder="1" applyAlignment="1">
      <alignment horizontal="left"/>
    </xf>
    <xf numFmtId="0" fontId="6" fillId="0" borderId="0" xfId="0" applyNumberFormat="1" applyFont="1" applyFill="1" applyBorder="1"/>
    <xf numFmtId="43" fontId="6" fillId="0" borderId="0" xfId="1" applyFont="1" applyFill="1" applyBorder="1" applyAlignment="1">
      <alignment horizontal="center"/>
    </xf>
    <xf numFmtId="43" fontId="6" fillId="0" borderId="0" xfId="1" applyFont="1" applyFill="1" applyBorder="1"/>
    <xf numFmtId="43" fontId="7" fillId="0" borderId="0" xfId="1" applyFont="1" applyFill="1" applyBorder="1"/>
    <xf numFmtId="167" fontId="6" fillId="0" borderId="0" xfId="0" applyFont="1" applyFill="1" applyBorder="1"/>
    <xf numFmtId="10" fontId="0" fillId="0" borderId="0" xfId="0" applyNumberFormat="1" applyFont="1" applyAlignment="1">
      <alignment horizontal="left"/>
    </xf>
    <xf numFmtId="0" fontId="81" fillId="0" borderId="0" xfId="0" applyNumberFormat="1" applyFont="1" applyAlignment="1">
      <alignment horizontal="left"/>
    </xf>
    <xf numFmtId="10" fontId="28" fillId="0" borderId="0" xfId="2" applyNumberFormat="1" applyFont="1" applyAlignment="1">
      <alignment horizontal="left"/>
    </xf>
    <xf numFmtId="170" fontId="81" fillId="0" borderId="0" xfId="1" applyNumberFormat="1" applyFont="1" applyBorder="1" applyAlignment="1">
      <alignment horizontal="left"/>
    </xf>
    <xf numFmtId="43" fontId="22" fillId="0" borderId="0" xfId="1" applyNumberFormat="1" applyFont="1" applyBorder="1"/>
    <xf numFmtId="170" fontId="81" fillId="0" borderId="0" xfId="1" applyNumberFormat="1" applyFont="1" applyFill="1" applyBorder="1" applyAlignment="1">
      <alignment horizontal="left"/>
    </xf>
    <xf numFmtId="167" fontId="22" fillId="0" borderId="4" xfId="0" applyFont="1" applyFill="1" applyBorder="1"/>
    <xf numFmtId="9" fontId="22" fillId="0" borderId="0" xfId="2" applyFont="1" applyFill="1" applyBorder="1"/>
    <xf numFmtId="9" fontId="2" fillId="0" borderId="0" xfId="2" applyFont="1" applyBorder="1" applyAlignment="1">
      <alignment horizontal="left"/>
    </xf>
    <xf numFmtId="43" fontId="0" fillId="0" borderId="0" xfId="1" applyNumberFormat="1" applyFont="1"/>
    <xf numFmtId="43" fontId="0" fillId="0" borderId="0" xfId="1" applyNumberFormat="1" applyFont="1" applyBorder="1"/>
    <xf numFmtId="9" fontId="152" fillId="0" borderId="0" xfId="27" applyNumberFormat="1" applyFont="1" applyAlignment="1">
      <alignment horizontal="left"/>
    </xf>
    <xf numFmtId="0" fontId="0" fillId="0" borderId="0" xfId="1" applyNumberFormat="1" applyFont="1" applyBorder="1" applyAlignment="1">
      <alignment horizontal="left"/>
    </xf>
    <xf numFmtId="0" fontId="0" fillId="0" borderId="0" xfId="1" applyNumberFormat="1" applyFont="1" applyAlignment="1">
      <alignment horizontal="left"/>
    </xf>
    <xf numFmtId="0" fontId="14" fillId="2" borderId="0" xfId="1" applyNumberFormat="1" applyFont="1" applyFill="1" applyAlignment="1">
      <alignment horizontal="left"/>
    </xf>
    <xf numFmtId="0" fontId="18" fillId="0" borderId="0" xfId="1" applyNumberFormat="1" applyFont="1" applyAlignment="1">
      <alignment horizontal="left"/>
    </xf>
    <xf numFmtId="0" fontId="27" fillId="0" borderId="0" xfId="1" applyNumberFormat="1" applyFont="1" applyAlignment="1">
      <alignment horizontal="left"/>
    </xf>
    <xf numFmtId="10" fontId="22" fillId="0" borderId="0" xfId="1" applyNumberFormat="1" applyFont="1" applyAlignment="1">
      <alignment horizontal="left"/>
    </xf>
    <xf numFmtId="0" fontId="0" fillId="0" borderId="0" xfId="2" applyNumberFormat="1" applyFont="1" applyBorder="1" applyAlignment="1">
      <alignment horizontal="left"/>
    </xf>
    <xf numFmtId="0" fontId="24" fillId="0" borderId="0" xfId="1" applyNumberFormat="1" applyFont="1" applyBorder="1" applyAlignment="1">
      <alignment horizontal="left"/>
    </xf>
    <xf numFmtId="9" fontId="2" fillId="0" borderId="0" xfId="2" applyNumberFormat="1" applyFont="1" applyAlignment="1">
      <alignment horizontal="left"/>
    </xf>
    <xf numFmtId="9" fontId="6" fillId="0" borderId="0" xfId="2" applyFont="1" applyAlignment="1">
      <alignment horizontal="right"/>
    </xf>
    <xf numFmtId="177" fontId="9" fillId="0" borderId="0" xfId="2" applyNumberFormat="1" applyFont="1" applyFill="1" applyBorder="1" applyAlignment="1">
      <alignment vertical="center"/>
    </xf>
    <xf numFmtId="41" fontId="53" fillId="0" borderId="53" xfId="8" applyNumberFormat="1" applyFont="1" applyFill="1" applyBorder="1" applyAlignment="1">
      <alignment horizontal="right"/>
    </xf>
    <xf numFmtId="9" fontId="9" fillId="0" borderId="0" xfId="2" applyFont="1" applyFill="1" applyBorder="1" applyAlignment="1">
      <alignment vertical="top"/>
    </xf>
    <xf numFmtId="172" fontId="36" fillId="11" borderId="100" xfId="16" applyNumberFormat="1" applyFont="1" applyFill="1" applyBorder="1"/>
    <xf numFmtId="172" fontId="36" fillId="0" borderId="100" xfId="16" applyNumberFormat="1" applyFont="1" applyFill="1" applyBorder="1"/>
    <xf numFmtId="172" fontId="37" fillId="0" borderId="46" xfId="16" applyNumberFormat="1" applyFont="1" applyFill="1" applyBorder="1"/>
    <xf numFmtId="9" fontId="6" fillId="0" borderId="0" xfId="2" applyFont="1"/>
    <xf numFmtId="9" fontId="14" fillId="3" borderId="0" xfId="2" applyFont="1" applyFill="1" applyAlignment="1">
      <alignment horizontal="right"/>
    </xf>
    <xf numFmtId="9" fontId="81" fillId="0" borderId="0" xfId="2" applyFont="1" applyAlignment="1">
      <alignment horizontal="right"/>
    </xf>
    <xf numFmtId="9" fontId="82" fillId="0" borderId="0" xfId="2" applyFont="1" applyAlignment="1">
      <alignment horizontal="right"/>
    </xf>
    <xf numFmtId="9" fontId="2" fillId="0" borderId="0" xfId="2" applyFont="1" applyAlignment="1">
      <alignment horizontal="right"/>
    </xf>
    <xf numFmtId="9" fontId="2" fillId="0" borderId="0" xfId="2" applyFont="1" applyBorder="1" applyAlignment="1">
      <alignment horizontal="right"/>
    </xf>
    <xf numFmtId="9" fontId="0" fillId="0" borderId="0" xfId="2" applyFont="1" applyBorder="1" applyAlignment="1">
      <alignment horizontal="right"/>
    </xf>
    <xf numFmtId="9" fontId="26" fillId="0" borderId="0" xfId="2" applyFont="1" applyAlignment="1">
      <alignment horizontal="right"/>
    </xf>
    <xf numFmtId="9" fontId="24" fillId="0" borderId="0" xfId="2" applyFont="1" applyBorder="1" applyAlignment="1">
      <alignment horizontal="right"/>
    </xf>
    <xf numFmtId="9" fontId="2" fillId="0" borderId="0" xfId="2" applyFont="1" applyBorder="1" applyAlignment="1">
      <alignment wrapText="1"/>
    </xf>
    <xf numFmtId="9" fontId="6" fillId="0" borderId="0" xfId="2" applyFont="1" applyBorder="1"/>
    <xf numFmtId="9" fontId="6" fillId="0" borderId="0" xfId="2" applyFont="1" applyBorder="1" applyAlignment="1">
      <alignment horizontal="right"/>
    </xf>
    <xf numFmtId="9" fontId="24" fillId="0" borderId="0" xfId="2" applyFont="1" applyAlignment="1">
      <alignment horizontal="right"/>
    </xf>
    <xf numFmtId="9" fontId="1" fillId="0" borderId="0" xfId="2" applyFont="1" applyBorder="1" applyAlignment="1">
      <alignment horizontal="left"/>
    </xf>
    <xf numFmtId="9" fontId="1" fillId="0" borderId="0" xfId="2" applyFont="1" applyBorder="1"/>
    <xf numFmtId="9" fontId="1" fillId="0" borderId="0" xfId="2" applyFont="1" applyBorder="1" applyAlignment="1">
      <alignment horizontal="right"/>
    </xf>
    <xf numFmtId="9" fontId="0" fillId="0" borderId="0" xfId="2" applyFont="1"/>
    <xf numFmtId="9" fontId="7" fillId="0" borderId="0" xfId="2" applyFont="1" applyAlignment="1">
      <alignment horizontal="right"/>
    </xf>
    <xf numFmtId="9" fontId="6" fillId="0" borderId="0" xfId="2" applyFont="1" applyFill="1" applyAlignment="1">
      <alignment horizontal="right"/>
    </xf>
    <xf numFmtId="9" fontId="0" fillId="0" borderId="0" xfId="2" applyFont="1" applyFill="1" applyAlignment="1">
      <alignment horizontal="right"/>
    </xf>
    <xf numFmtId="9" fontId="2" fillId="0" borderId="0" xfId="2" applyFont="1" applyFill="1" applyBorder="1" applyAlignment="1">
      <alignment horizontal="right"/>
    </xf>
    <xf numFmtId="9" fontId="6" fillId="0" borderId="0" xfId="2" applyFont="1" applyFill="1" applyBorder="1" applyAlignment="1">
      <alignment horizontal="left"/>
    </xf>
    <xf numFmtId="9" fontId="6" fillId="0" borderId="0" xfId="2" applyFont="1" applyFill="1" applyBorder="1"/>
    <xf numFmtId="9" fontId="6" fillId="0" borderId="0" xfId="2" applyFont="1" applyFill="1" applyBorder="1" applyAlignment="1">
      <alignment horizontal="right"/>
    </xf>
    <xf numFmtId="9" fontId="0" fillId="0" borderId="0" xfId="2" applyFont="1" applyFill="1" applyBorder="1" applyAlignment="1">
      <alignment horizontal="right"/>
    </xf>
    <xf numFmtId="9" fontId="114" fillId="0" borderId="0" xfId="2" applyFont="1" applyBorder="1" applyAlignment="1">
      <alignment horizontal="left"/>
    </xf>
    <xf numFmtId="9" fontId="114" fillId="0" borderId="0" xfId="2" applyFont="1"/>
    <xf numFmtId="9" fontId="114" fillId="0" borderId="0" xfId="2" applyFont="1" applyAlignment="1">
      <alignment horizontal="right"/>
    </xf>
    <xf numFmtId="9" fontId="22" fillId="0" borderId="0" xfId="2" applyFont="1" applyAlignment="1">
      <alignment horizontal="right"/>
    </xf>
    <xf numFmtId="9" fontId="118" fillId="3" borderId="0" xfId="2" applyFont="1" applyFill="1" applyAlignment="1">
      <alignment horizontal="right"/>
    </xf>
    <xf numFmtId="9" fontId="28" fillId="0" borderId="0" xfId="2" applyFont="1" applyAlignment="1">
      <alignment horizontal="right"/>
    </xf>
    <xf numFmtId="9" fontId="28" fillId="0" borderId="0" xfId="2" applyFont="1" applyBorder="1" applyAlignment="1">
      <alignment horizontal="right"/>
    </xf>
    <xf numFmtId="9" fontId="22" fillId="0" borderId="0" xfId="2" applyFont="1" applyBorder="1" applyAlignment="1">
      <alignment horizontal="right"/>
    </xf>
    <xf numFmtId="9" fontId="121" fillId="0" borderId="0" xfId="2" applyFont="1" applyAlignment="1">
      <alignment horizontal="right"/>
    </xf>
    <xf numFmtId="9" fontId="30" fillId="0" borderId="0" xfId="2" applyFont="1" applyAlignment="1">
      <alignment horizontal="right"/>
    </xf>
    <xf numFmtId="9" fontId="14" fillId="2" borderId="0" xfId="2" applyFont="1" applyFill="1" applyAlignment="1"/>
    <xf numFmtId="9" fontId="2" fillId="0" borderId="0" xfId="2" applyFont="1"/>
    <xf numFmtId="9" fontId="2" fillId="0" borderId="0" xfId="2" applyFont="1" applyBorder="1"/>
    <xf numFmtId="9" fontId="0" fillId="0" borderId="0" xfId="2" applyFont="1" applyFill="1"/>
    <xf numFmtId="9" fontId="2" fillId="0" borderId="0" xfId="2" applyFont="1" applyFill="1" applyBorder="1"/>
    <xf numFmtId="9" fontId="82" fillId="0" borderId="0" xfId="2" applyFont="1" applyFill="1" applyAlignment="1">
      <alignment horizontal="right"/>
    </xf>
    <xf numFmtId="9" fontId="22" fillId="0" borderId="0" xfId="2" applyFont="1" applyFill="1"/>
    <xf numFmtId="9" fontId="28" fillId="0" borderId="0" xfId="2" applyFont="1" applyFill="1" applyBorder="1"/>
    <xf numFmtId="9" fontId="0" fillId="0" borderId="0" xfId="2" applyFont="1" applyFill="1" applyBorder="1"/>
    <xf numFmtId="9" fontId="115" fillId="0" borderId="0" xfId="2" applyFont="1"/>
    <xf numFmtId="9" fontId="22" fillId="0" borderId="0" xfId="2" applyFont="1"/>
    <xf numFmtId="9" fontId="118" fillId="2" borderId="0" xfId="2" applyFont="1" applyFill="1" applyAlignment="1"/>
    <xf numFmtId="9" fontId="28" fillId="0" borderId="0" xfId="2" applyFont="1"/>
    <xf numFmtId="9" fontId="28" fillId="0" borderId="0" xfId="2" applyFont="1" applyBorder="1"/>
    <xf numFmtId="9" fontId="14" fillId="2" borderId="0" xfId="2" applyFont="1" applyFill="1" applyAlignment="1">
      <alignment horizontal="right"/>
    </xf>
    <xf numFmtId="9" fontId="118" fillId="2" borderId="0" xfId="2" applyFont="1" applyFill="1" applyAlignment="1">
      <alignment horizontal="right"/>
    </xf>
    <xf numFmtId="9" fontId="30" fillId="0" borderId="0" xfId="2" applyFont="1"/>
    <xf numFmtId="167" fontId="32" fillId="5" borderId="40" xfId="29" applyFont="1" applyFill="1" applyBorder="1" applyAlignment="1">
      <alignment horizontal="center" vertical="center" wrapText="1"/>
    </xf>
    <xf numFmtId="167" fontId="35" fillId="11" borderId="5" xfId="29" applyFont="1" applyFill="1" applyBorder="1"/>
    <xf numFmtId="167" fontId="36" fillId="11" borderId="9" xfId="29" applyFont="1" applyFill="1" applyBorder="1"/>
    <xf numFmtId="172" fontId="36" fillId="11" borderId="61" xfId="16" applyNumberFormat="1" applyFont="1" applyFill="1" applyBorder="1"/>
    <xf numFmtId="168" fontId="37" fillId="11" borderId="101" xfId="1" applyNumberFormat="1" applyFont="1" applyFill="1" applyBorder="1"/>
    <xf numFmtId="168" fontId="36" fillId="11" borderId="101" xfId="1" applyNumberFormat="1" applyFont="1" applyFill="1" applyBorder="1"/>
    <xf numFmtId="168" fontId="37" fillId="11" borderId="7" xfId="1" applyNumberFormat="1" applyFont="1" applyFill="1" applyBorder="1"/>
    <xf numFmtId="172" fontId="32" fillId="11" borderId="57" xfId="16" applyNumberFormat="1" applyFont="1" applyFill="1" applyBorder="1"/>
    <xf numFmtId="44" fontId="36" fillId="11" borderId="71" xfId="8" applyNumberFormat="1" applyFont="1" applyFill="1" applyBorder="1"/>
    <xf numFmtId="44" fontId="36" fillId="11" borderId="9" xfId="8" applyNumberFormat="1" applyFont="1" applyFill="1" applyBorder="1"/>
    <xf numFmtId="168" fontId="36" fillId="11" borderId="101" xfId="8" applyNumberFormat="1" applyFont="1" applyFill="1" applyBorder="1"/>
    <xf numFmtId="168" fontId="36" fillId="11" borderId="102" xfId="8" applyNumberFormat="1" applyFont="1" applyFill="1" applyBorder="1"/>
    <xf numFmtId="172" fontId="32" fillId="11" borderId="57" xfId="8" applyNumberFormat="1" applyFont="1" applyFill="1" applyBorder="1"/>
    <xf numFmtId="44" fontId="36" fillId="11" borderId="7" xfId="8" applyNumberFormat="1" applyFont="1" applyFill="1" applyBorder="1"/>
    <xf numFmtId="172" fontId="32" fillId="5" borderId="40" xfId="8" applyNumberFormat="1" applyFont="1" applyFill="1" applyBorder="1" applyAlignment="1">
      <alignment vertical="center"/>
    </xf>
    <xf numFmtId="44" fontId="36" fillId="11" borderId="5" xfId="8" applyNumberFormat="1" applyFont="1" applyFill="1" applyBorder="1"/>
    <xf numFmtId="172" fontId="42" fillId="5" borderId="61" xfId="16" applyNumberFormat="1" applyFont="1" applyFill="1" applyBorder="1"/>
    <xf numFmtId="168" fontId="42" fillId="5" borderId="101" xfId="8" applyNumberFormat="1" applyFont="1" applyFill="1" applyBorder="1"/>
    <xf numFmtId="168" fontId="124" fillId="19" borderId="101" xfId="8" applyNumberFormat="1" applyFont="1" applyFill="1" applyBorder="1"/>
    <xf numFmtId="3" fontId="125" fillId="19" borderId="101" xfId="8" applyNumberFormat="1" applyFont="1" applyFill="1" applyBorder="1" applyAlignment="1">
      <alignment horizontal="right"/>
    </xf>
    <xf numFmtId="3" fontId="37" fillId="19" borderId="101" xfId="8" applyNumberFormat="1" applyFont="1" applyFill="1" applyBorder="1" applyAlignment="1">
      <alignment horizontal="right"/>
    </xf>
    <xf numFmtId="168" fontId="128" fillId="19" borderId="101" xfId="8" applyNumberFormat="1" applyFont="1" applyFill="1" applyBorder="1"/>
    <xf numFmtId="168" fontId="37" fillId="5" borderId="101" xfId="8" applyNumberFormat="1" applyFont="1" applyFill="1" applyBorder="1"/>
    <xf numFmtId="168" fontId="36" fillId="5" borderId="101" xfId="8" applyNumberFormat="1" applyFont="1" applyFill="1" applyBorder="1"/>
    <xf numFmtId="168" fontId="37" fillId="11" borderId="101" xfId="8" applyNumberFormat="1" applyFont="1" applyFill="1" applyBorder="1" applyAlignment="1">
      <alignment vertical="top"/>
    </xf>
    <xf numFmtId="172" fontId="36" fillId="11" borderId="71" xfId="29" applyNumberFormat="1" applyFont="1" applyFill="1" applyBorder="1"/>
    <xf numFmtId="44" fontId="36" fillId="11" borderId="9" xfId="29" applyNumberFormat="1" applyFont="1" applyFill="1" applyBorder="1"/>
    <xf numFmtId="172" fontId="36" fillId="11" borderId="61" xfId="44" applyNumberFormat="1" applyFont="1" applyFill="1" applyBorder="1"/>
    <xf numFmtId="44" fontId="36" fillId="5" borderId="7" xfId="29" applyNumberFormat="1" applyFont="1" applyFill="1" applyBorder="1"/>
    <xf numFmtId="172" fontId="32" fillId="5" borderId="40" xfId="29" applyNumberFormat="1" applyFont="1" applyFill="1" applyBorder="1" applyAlignment="1">
      <alignment vertical="center"/>
    </xf>
    <xf numFmtId="172" fontId="32" fillId="5" borderId="40" xfId="16" applyNumberFormat="1" applyFont="1" applyFill="1" applyBorder="1" applyAlignment="1">
      <alignment vertical="center"/>
    </xf>
    <xf numFmtId="172" fontId="47" fillId="5" borderId="5" xfId="16" applyNumberFormat="1" applyFont="1" applyFill="1" applyBorder="1" applyAlignment="1"/>
    <xf numFmtId="10" fontId="49" fillId="5" borderId="66" xfId="5" applyNumberFormat="1" applyFont="1" applyFill="1" applyBorder="1" applyAlignment="1">
      <alignment vertical="top"/>
    </xf>
    <xf numFmtId="172" fontId="52" fillId="11" borderId="61" xfId="8" applyNumberFormat="1" applyFont="1" applyFill="1" applyBorder="1"/>
    <xf numFmtId="168" fontId="52" fillId="11" borderId="101" xfId="8" applyNumberFormat="1" applyFont="1" applyFill="1" applyBorder="1"/>
    <xf numFmtId="3" fontId="53" fillId="11" borderId="101" xfId="8" applyNumberFormat="1" applyFont="1" applyFill="1" applyBorder="1" applyAlignment="1">
      <alignment horizontal="right"/>
    </xf>
    <xf numFmtId="10" fontId="55" fillId="11" borderId="101" xfId="5" applyNumberFormat="1" applyFont="1" applyFill="1" applyBorder="1" applyAlignment="1">
      <alignment vertical="top"/>
    </xf>
    <xf numFmtId="168" fontId="52" fillId="11" borderId="102" xfId="8" applyNumberFormat="1" applyFont="1" applyFill="1" applyBorder="1"/>
    <xf numFmtId="10" fontId="56" fillId="11" borderId="9" xfId="5" applyNumberFormat="1" applyFont="1" applyFill="1" applyBorder="1" applyAlignment="1">
      <alignment vertical="top"/>
    </xf>
    <xf numFmtId="172" fontId="57" fillId="11" borderId="7" xfId="16" applyNumberFormat="1" applyFont="1" applyFill="1" applyBorder="1"/>
    <xf numFmtId="10" fontId="59" fillId="11" borderId="7" xfId="5" applyNumberFormat="1" applyFont="1" applyFill="1" applyBorder="1" applyAlignment="1">
      <alignment vertical="top"/>
    </xf>
    <xf numFmtId="10" fontId="61" fillId="5" borderId="66" xfId="5" applyNumberFormat="1" applyFont="1" applyFill="1" applyBorder="1" applyAlignment="1">
      <alignment vertical="top"/>
    </xf>
    <xf numFmtId="167" fontId="32" fillId="5" borderId="42" xfId="29" applyFont="1" applyFill="1" applyBorder="1" applyAlignment="1">
      <alignment horizontal="center" vertical="center" wrapText="1"/>
    </xf>
    <xf numFmtId="167" fontId="35" fillId="11" borderId="6" xfId="29" applyFont="1" applyFill="1" applyBorder="1"/>
    <xf numFmtId="167" fontId="36" fillId="11" borderId="10" xfId="29" applyFont="1" applyFill="1" applyBorder="1" applyAlignment="1"/>
    <xf numFmtId="172" fontId="36" fillId="11" borderId="70" xfId="16" applyNumberFormat="1" applyFont="1" applyFill="1" applyBorder="1"/>
    <xf numFmtId="168" fontId="37" fillId="11" borderId="97" xfId="8" applyNumberFormat="1" applyFont="1" applyFill="1" applyBorder="1"/>
    <xf numFmtId="168" fontId="36" fillId="11" borderId="97" xfId="8" applyNumberFormat="1" applyFont="1" applyFill="1" applyBorder="1"/>
    <xf numFmtId="168" fontId="37" fillId="11" borderId="8" xfId="8" applyNumberFormat="1" applyFont="1" applyFill="1" applyBorder="1"/>
    <xf numFmtId="172" fontId="32" fillId="11" borderId="103" xfId="16" applyNumberFormat="1" applyFont="1" applyFill="1" applyBorder="1"/>
    <xf numFmtId="44" fontId="36" fillId="11" borderId="75" xfId="29" applyNumberFormat="1" applyFont="1" applyFill="1" applyBorder="1"/>
    <xf numFmtId="44" fontId="36" fillId="11" borderId="10" xfId="29" applyNumberFormat="1" applyFont="1" applyFill="1" applyBorder="1"/>
    <xf numFmtId="168" fontId="36" fillId="11" borderId="98" xfId="8" applyNumberFormat="1" applyFont="1" applyFill="1" applyBorder="1"/>
    <xf numFmtId="172" fontId="32" fillId="11" borderId="103" xfId="29" applyNumberFormat="1" applyFont="1" applyFill="1" applyBorder="1"/>
    <xf numFmtId="44" fontId="36" fillId="11" borderId="8" xfId="29" applyNumberFormat="1" applyFont="1" applyFill="1" applyBorder="1"/>
    <xf numFmtId="172" fontId="32" fillId="5" borderId="42" xfId="8" applyNumberFormat="1" applyFont="1" applyFill="1" applyBorder="1" applyAlignment="1">
      <alignment vertical="center"/>
    </xf>
    <xf numFmtId="44" fontId="36" fillId="11" borderId="6" xfId="29" applyNumberFormat="1" applyFont="1" applyFill="1" applyBorder="1"/>
    <xf numFmtId="168" fontId="124" fillId="19" borderId="97" xfId="8" applyNumberFormat="1" applyFont="1" applyFill="1" applyBorder="1"/>
    <xf numFmtId="3" fontId="37" fillId="19" borderId="97" xfId="8" applyNumberFormat="1" applyFont="1" applyFill="1" applyBorder="1" applyAlignment="1">
      <alignment horizontal="right"/>
    </xf>
    <xf numFmtId="3" fontId="125" fillId="19" borderId="97" xfId="8" applyNumberFormat="1" applyFont="1" applyFill="1" applyBorder="1" applyAlignment="1">
      <alignment horizontal="right"/>
    </xf>
    <xf numFmtId="168" fontId="128" fillId="19" borderId="97" xfId="8" applyNumberFormat="1" applyFont="1" applyFill="1" applyBorder="1"/>
    <xf numFmtId="168" fontId="36" fillId="11" borderId="97" xfId="8" applyNumberFormat="1" applyFont="1" applyFill="1" applyBorder="1" applyAlignment="1">
      <alignment vertical="top"/>
    </xf>
    <xf numFmtId="168" fontId="37" fillId="11" borderId="97" xfId="8" applyNumberFormat="1" applyFont="1" applyFill="1" applyBorder="1" applyAlignment="1">
      <alignment vertical="top"/>
    </xf>
    <xf numFmtId="172" fontId="36" fillId="11" borderId="75" xfId="29" applyNumberFormat="1" applyFont="1" applyFill="1" applyBorder="1"/>
    <xf numFmtId="172" fontId="36" fillId="11" borderId="70" xfId="44" applyNumberFormat="1" applyFont="1" applyFill="1" applyBorder="1"/>
    <xf numFmtId="44" fontId="36" fillId="5" borderId="8" xfId="29" applyNumberFormat="1" applyFont="1" applyFill="1" applyBorder="1"/>
    <xf numFmtId="172" fontId="32" fillId="5" borderId="42" xfId="29" applyNumberFormat="1" applyFont="1" applyFill="1" applyBorder="1" applyAlignment="1">
      <alignment vertical="center"/>
    </xf>
    <xf numFmtId="172" fontId="32" fillId="5" borderId="42" xfId="16" applyNumberFormat="1" applyFont="1" applyFill="1" applyBorder="1" applyAlignment="1">
      <alignment vertical="center"/>
    </xf>
    <xf numFmtId="172" fontId="47" fillId="5" borderId="6" xfId="16" applyNumberFormat="1" applyFont="1" applyFill="1" applyBorder="1" applyAlignment="1"/>
    <xf numFmtId="10" fontId="49" fillId="5" borderId="104" xfId="5" applyNumberFormat="1" applyFont="1" applyFill="1" applyBorder="1" applyAlignment="1">
      <alignment vertical="top"/>
    </xf>
    <xf numFmtId="172" fontId="52" fillId="11" borderId="70" xfId="8" applyNumberFormat="1" applyFont="1" applyFill="1" applyBorder="1"/>
    <xf numFmtId="168" fontId="52" fillId="11" borderId="97" xfId="8" applyNumberFormat="1" applyFont="1" applyFill="1" applyBorder="1"/>
    <xf numFmtId="3" fontId="53" fillId="11" borderId="97" xfId="8" applyNumberFormat="1" applyFont="1" applyFill="1" applyBorder="1" applyAlignment="1">
      <alignment horizontal="right"/>
    </xf>
    <xf numFmtId="10" fontId="55" fillId="11" borderId="97" xfId="5" applyNumberFormat="1" applyFont="1" applyFill="1" applyBorder="1" applyAlignment="1">
      <alignment vertical="top"/>
    </xf>
    <xf numFmtId="168" fontId="52" fillId="11" borderId="98" xfId="8" applyNumberFormat="1" applyFont="1" applyFill="1" applyBorder="1"/>
    <xf numFmtId="10" fontId="56" fillId="11" borderId="10" xfId="5" applyNumberFormat="1" applyFont="1" applyFill="1" applyBorder="1" applyAlignment="1">
      <alignment vertical="top"/>
    </xf>
    <xf numFmtId="172" fontId="57" fillId="11" borderId="8" xfId="16" applyNumberFormat="1" applyFont="1" applyFill="1" applyBorder="1"/>
    <xf numFmtId="10" fontId="60" fillId="11" borderId="8" xfId="5" applyNumberFormat="1" applyFont="1" applyFill="1" applyBorder="1" applyAlignment="1">
      <alignment vertical="top"/>
    </xf>
    <xf numFmtId="10" fontId="61" fillId="5" borderId="104" xfId="5" applyNumberFormat="1" applyFont="1" applyFill="1" applyBorder="1" applyAlignment="1">
      <alignment vertical="top"/>
    </xf>
    <xf numFmtId="167" fontId="32" fillId="5" borderId="105" xfId="29" applyFont="1" applyFill="1" applyBorder="1" applyAlignment="1">
      <alignment horizontal="center" vertical="center" wrapText="1"/>
    </xf>
    <xf numFmtId="167" fontId="35" fillId="0" borderId="30" xfId="29" applyFont="1" applyFill="1" applyBorder="1"/>
    <xf numFmtId="172" fontId="36" fillId="0" borderId="31" xfId="29" applyNumberFormat="1" applyFont="1" applyFill="1" applyBorder="1" applyAlignment="1"/>
    <xf numFmtId="172" fontId="36" fillId="0" borderId="106" xfId="16" applyNumberFormat="1" applyFont="1" applyFill="1" applyBorder="1"/>
    <xf numFmtId="168" fontId="37" fillId="0" borderId="107" xfId="8" applyNumberFormat="1" applyFont="1" applyFill="1" applyBorder="1"/>
    <xf numFmtId="168" fontId="36" fillId="0" borderId="107" xfId="8" applyNumberFormat="1" applyFont="1" applyFill="1" applyBorder="1"/>
    <xf numFmtId="168" fontId="37" fillId="0" borderId="43" xfId="8" applyNumberFormat="1" applyFont="1" applyFill="1" applyBorder="1"/>
    <xf numFmtId="172" fontId="32" fillId="0" borderId="108" xfId="16" applyNumberFormat="1" applyFont="1" applyFill="1" applyBorder="1"/>
    <xf numFmtId="44" fontId="36" fillId="0" borderId="109" xfId="29" applyNumberFormat="1" applyFont="1" applyFill="1" applyBorder="1"/>
    <xf numFmtId="44" fontId="36" fillId="0" borderId="31" xfId="29" applyNumberFormat="1" applyFont="1" applyFill="1" applyBorder="1"/>
    <xf numFmtId="168" fontId="36" fillId="0" borderId="110" xfId="8" applyNumberFormat="1" applyFont="1" applyFill="1" applyBorder="1"/>
    <xf numFmtId="172" fontId="32" fillId="0" borderId="108" xfId="29" applyNumberFormat="1" applyFont="1" applyFill="1" applyBorder="1"/>
    <xf numFmtId="44" fontId="36" fillId="0" borderId="43" xfId="29" applyNumberFormat="1" applyFont="1" applyFill="1" applyBorder="1"/>
    <xf numFmtId="172" fontId="32" fillId="5" borderId="41" xfId="8" applyNumberFormat="1" applyFont="1" applyFill="1" applyBorder="1" applyAlignment="1">
      <alignment vertical="center"/>
    </xf>
    <xf numFmtId="44" fontId="36" fillId="0" borderId="30" xfId="29" applyNumberFormat="1" applyFont="1" applyFill="1" applyBorder="1"/>
    <xf numFmtId="168" fontId="124" fillId="19" borderId="107" xfId="8" applyNumberFormat="1" applyFont="1" applyFill="1" applyBorder="1"/>
    <xf numFmtId="3" fontId="37" fillId="19" borderId="107" xfId="8" applyNumberFormat="1" applyFont="1" applyFill="1" applyBorder="1" applyAlignment="1">
      <alignment horizontal="right"/>
    </xf>
    <xf numFmtId="3" fontId="125" fillId="19" borderId="107" xfId="8" applyNumberFormat="1" applyFont="1" applyFill="1" applyBorder="1" applyAlignment="1">
      <alignment horizontal="right"/>
    </xf>
    <xf numFmtId="168" fontId="128" fillId="19" borderId="107" xfId="8" applyNumberFormat="1" applyFont="1" applyFill="1" applyBorder="1"/>
    <xf numFmtId="168" fontId="36" fillId="0" borderId="107" xfId="8" applyNumberFormat="1" applyFont="1" applyFill="1" applyBorder="1" applyAlignment="1">
      <alignment vertical="top"/>
    </xf>
    <xf numFmtId="168" fontId="37" fillId="0" borderId="107" xfId="8" applyNumberFormat="1" applyFont="1" applyFill="1" applyBorder="1" applyAlignment="1">
      <alignment vertical="top"/>
    </xf>
    <xf numFmtId="172" fontId="36" fillId="0" borderId="109" xfId="29" applyNumberFormat="1" applyFont="1" applyFill="1" applyBorder="1"/>
    <xf numFmtId="172" fontId="42" fillId="0" borderId="106" xfId="44" applyNumberFormat="1" applyFont="1" applyFill="1" applyBorder="1"/>
    <xf numFmtId="172" fontId="32" fillId="5" borderId="41" xfId="29" applyNumberFormat="1" applyFont="1" applyFill="1" applyBorder="1" applyAlignment="1">
      <alignment vertical="center"/>
    </xf>
    <xf numFmtId="172" fontId="32" fillId="0" borderId="31" xfId="29" applyNumberFormat="1" applyFont="1" applyFill="1" applyBorder="1" applyAlignment="1">
      <alignment vertical="center"/>
    </xf>
    <xf numFmtId="172" fontId="32" fillId="5" borderId="41" xfId="16" applyNumberFormat="1" applyFont="1" applyFill="1" applyBorder="1" applyAlignment="1">
      <alignment vertical="center"/>
    </xf>
    <xf numFmtId="172" fontId="47" fillId="5" borderId="30" xfId="16" applyNumberFormat="1" applyFont="1" applyFill="1" applyBorder="1" applyAlignment="1"/>
    <xf numFmtId="10" fontId="49" fillId="5" borderId="111" xfId="5" applyNumberFormat="1" applyFont="1" applyFill="1" applyBorder="1" applyAlignment="1">
      <alignment vertical="top"/>
    </xf>
    <xf numFmtId="10" fontId="49" fillId="0" borderId="31" xfId="5" applyNumberFormat="1" applyFont="1" applyFill="1" applyBorder="1" applyAlignment="1">
      <alignment vertical="top"/>
    </xf>
    <xf numFmtId="44" fontId="32" fillId="5" borderId="41" xfId="16" applyNumberFormat="1" applyFont="1" applyFill="1" applyBorder="1"/>
    <xf numFmtId="172" fontId="52" fillId="0" borderId="106" xfId="8" applyNumberFormat="1" applyFont="1" applyFill="1" applyBorder="1"/>
    <xf numFmtId="168" fontId="52" fillId="0" borderId="107" xfId="8" applyNumberFormat="1" applyFont="1" applyFill="1" applyBorder="1"/>
    <xf numFmtId="3" fontId="53" fillId="0" borderId="107" xfId="8" applyNumberFormat="1" applyFont="1" applyFill="1" applyBorder="1" applyAlignment="1">
      <alignment horizontal="right"/>
    </xf>
    <xf numFmtId="10" fontId="55" fillId="0" borderId="107" xfId="5" applyNumberFormat="1" applyFont="1" applyFill="1" applyBorder="1" applyAlignment="1">
      <alignment vertical="top"/>
    </xf>
    <xf numFmtId="168" fontId="52" fillId="0" borderId="110" xfId="8" applyNumberFormat="1" applyFont="1" applyFill="1" applyBorder="1"/>
    <xf numFmtId="10" fontId="56" fillId="0" borderId="31" xfId="5" applyNumberFormat="1" applyFont="1" applyFill="1" applyBorder="1" applyAlignment="1">
      <alignment vertical="top"/>
    </xf>
    <xf numFmtId="172" fontId="58" fillId="0" borderId="43" xfId="16" applyNumberFormat="1" applyFont="1" applyFill="1" applyBorder="1"/>
    <xf numFmtId="10" fontId="60" fillId="0" borderId="43" xfId="5" applyNumberFormat="1" applyFont="1" applyFill="1" applyBorder="1" applyAlignment="1">
      <alignment vertical="top"/>
    </xf>
    <xf numFmtId="10" fontId="61" fillId="5" borderId="111" xfId="5" applyNumberFormat="1" applyFont="1" applyFill="1" applyBorder="1" applyAlignment="1">
      <alignment vertical="top"/>
    </xf>
    <xf numFmtId="167" fontId="41" fillId="0" borderId="112" xfId="29" applyFont="1" applyFill="1" applyBorder="1"/>
    <xf numFmtId="167" fontId="32" fillId="13" borderId="40" xfId="29" applyFont="1" applyFill="1" applyBorder="1" applyAlignment="1">
      <alignment horizontal="center" vertical="center" wrapText="1"/>
    </xf>
    <xf numFmtId="167" fontId="35" fillId="12" borderId="5" xfId="29" applyFont="1" applyFill="1" applyBorder="1" applyAlignment="1">
      <alignment horizontal="center"/>
    </xf>
    <xf numFmtId="167" fontId="36" fillId="12" borderId="9" xfId="29" applyFont="1" applyFill="1" applyBorder="1" applyAlignment="1">
      <alignment horizontal="center"/>
    </xf>
    <xf numFmtId="172" fontId="36" fillId="12" borderId="61" xfId="16" applyNumberFormat="1" applyFont="1" applyFill="1" applyBorder="1"/>
    <xf numFmtId="168" fontId="36" fillId="12" borderId="101" xfId="8" applyNumberFormat="1" applyFont="1" applyFill="1" applyBorder="1"/>
    <xf numFmtId="168" fontId="37" fillId="12" borderId="101" xfId="8" applyNumberFormat="1" applyFont="1" applyFill="1" applyBorder="1"/>
    <xf numFmtId="168" fontId="36" fillId="12" borderId="102" xfId="8" applyNumberFormat="1" applyFont="1" applyFill="1" applyBorder="1"/>
    <xf numFmtId="172" fontId="32" fillId="12" borderId="57" xfId="8" applyNumberFormat="1" applyFont="1" applyFill="1" applyBorder="1"/>
    <xf numFmtId="44" fontId="36" fillId="12" borderId="71" xfId="29" applyNumberFormat="1" applyFont="1" applyFill="1" applyBorder="1"/>
    <xf numFmtId="44" fontId="36" fillId="12" borderId="7" xfId="29" applyNumberFormat="1" applyFont="1" applyFill="1" applyBorder="1"/>
    <xf numFmtId="172" fontId="36" fillId="12" borderId="101" xfId="16" applyNumberFormat="1" applyFont="1" applyFill="1" applyBorder="1"/>
    <xf numFmtId="168" fontId="36" fillId="12" borderId="113" xfId="8" applyNumberFormat="1" applyFont="1" applyFill="1" applyBorder="1"/>
    <xf numFmtId="172" fontId="32" fillId="12" borderId="57" xfId="16" applyNumberFormat="1" applyFont="1" applyFill="1" applyBorder="1"/>
    <xf numFmtId="172" fontId="36" fillId="13" borderId="71" xfId="16" applyNumberFormat="1" applyFont="1" applyFill="1" applyBorder="1"/>
    <xf numFmtId="172" fontId="32" fillId="13" borderId="40" xfId="8" applyNumberFormat="1" applyFont="1" applyFill="1" applyBorder="1" applyAlignment="1">
      <alignment vertical="center"/>
    </xf>
    <xf numFmtId="172" fontId="36" fillId="12" borderId="5" xfId="16" applyNumberFormat="1" applyFont="1" applyFill="1" applyBorder="1"/>
    <xf numFmtId="44" fontId="42" fillId="13" borderId="9" xfId="29" applyNumberFormat="1" applyFont="1" applyFill="1" applyBorder="1"/>
    <xf numFmtId="172" fontId="42" fillId="13" borderId="61" xfId="16" applyNumberFormat="1" applyFont="1" applyFill="1" applyBorder="1"/>
    <xf numFmtId="168" fontId="42" fillId="13" borderId="101" xfId="8" applyNumberFormat="1" applyFont="1" applyFill="1" applyBorder="1"/>
    <xf numFmtId="168" fontId="37" fillId="13" borderId="101" xfId="8" applyNumberFormat="1" applyFont="1" applyFill="1" applyBorder="1"/>
    <xf numFmtId="168" fontId="37" fillId="13" borderId="101" xfId="8" applyNumberFormat="1" applyFont="1" applyFill="1" applyBorder="1" applyAlignment="1">
      <alignment vertical="top"/>
    </xf>
    <xf numFmtId="44" fontId="36" fillId="12" borderId="9" xfId="29" applyNumberFormat="1" applyFont="1" applyFill="1" applyBorder="1"/>
    <xf numFmtId="44" fontId="36" fillId="12" borderId="61" xfId="44" applyFont="1" applyFill="1" applyBorder="1"/>
    <xf numFmtId="172" fontId="36" fillId="12" borderId="7" xfId="29" applyNumberFormat="1" applyFont="1" applyFill="1" applyBorder="1"/>
    <xf numFmtId="172" fontId="32" fillId="13" borderId="40" xfId="29" applyNumberFormat="1" applyFont="1" applyFill="1" applyBorder="1" applyAlignment="1">
      <alignment vertical="center"/>
    </xf>
    <xf numFmtId="172" fontId="32" fillId="13" borderId="40" xfId="16" applyNumberFormat="1" applyFont="1" applyFill="1" applyBorder="1" applyAlignment="1">
      <alignment vertical="center"/>
    </xf>
    <xf numFmtId="172" fontId="32" fillId="13" borderId="9" xfId="16" applyNumberFormat="1" applyFont="1" applyFill="1" applyBorder="1" applyAlignment="1">
      <alignment vertical="center"/>
    </xf>
    <xf numFmtId="172" fontId="32" fillId="13" borderId="57" xfId="16" applyNumberFormat="1" applyFont="1" applyFill="1" applyBorder="1" applyAlignment="1">
      <alignment vertical="center"/>
    </xf>
    <xf numFmtId="172" fontId="32" fillId="12" borderId="61" xfId="16" applyNumberFormat="1" applyFont="1" applyFill="1" applyBorder="1" applyAlignment="1">
      <alignment horizontal="left" vertical="center"/>
    </xf>
    <xf numFmtId="168" fontId="32" fillId="12" borderId="101" xfId="8" applyNumberFormat="1" applyFont="1" applyFill="1" applyBorder="1" applyAlignment="1">
      <alignment vertical="center"/>
    </xf>
    <xf numFmtId="168" fontId="32" fillId="12" borderId="102" xfId="8" applyNumberFormat="1" applyFont="1" applyFill="1" applyBorder="1" applyAlignment="1">
      <alignment vertical="center"/>
    </xf>
    <xf numFmtId="167" fontId="32" fillId="13" borderId="42" xfId="29" applyFont="1" applyFill="1" applyBorder="1" applyAlignment="1">
      <alignment horizontal="center" vertical="center" wrapText="1"/>
    </xf>
    <xf numFmtId="167" fontId="35" fillId="12" borderId="6" xfId="29" applyFont="1" applyFill="1" applyBorder="1" applyAlignment="1">
      <alignment horizontal="center"/>
    </xf>
    <xf numFmtId="167" fontId="36" fillId="12" borderId="10" xfId="29" applyFont="1" applyFill="1" applyBorder="1" applyAlignment="1">
      <alignment horizontal="center"/>
    </xf>
    <xf numFmtId="172" fontId="36" fillId="12" borderId="70" xfId="16" applyNumberFormat="1" applyFont="1" applyFill="1" applyBorder="1"/>
    <xf numFmtId="168" fontId="36" fillId="12" borderId="97" xfId="8" applyNumberFormat="1" applyFont="1" applyFill="1" applyBorder="1"/>
    <xf numFmtId="168" fontId="37" fillId="12" borderId="97" xfId="8" applyNumberFormat="1" applyFont="1" applyFill="1" applyBorder="1"/>
    <xf numFmtId="168" fontId="36" fillId="12" borderId="98" xfId="8" applyNumberFormat="1" applyFont="1" applyFill="1" applyBorder="1"/>
    <xf numFmtId="172" fontId="32" fillId="12" borderId="103" xfId="8" applyNumberFormat="1" applyFont="1" applyFill="1" applyBorder="1"/>
    <xf numFmtId="44" fontId="36" fillId="13" borderId="75" xfId="29" applyNumberFormat="1" applyFont="1" applyFill="1" applyBorder="1"/>
    <xf numFmtId="44" fontId="36" fillId="12" borderId="8" xfId="29" applyNumberFormat="1" applyFont="1" applyFill="1" applyBorder="1"/>
    <xf numFmtId="172" fontId="36" fillId="12" borderId="97" xfId="16" applyNumberFormat="1" applyFont="1" applyFill="1" applyBorder="1"/>
    <xf numFmtId="168" fontId="36" fillId="12" borderId="114" xfId="8" applyNumberFormat="1" applyFont="1" applyFill="1" applyBorder="1"/>
    <xf numFmtId="172" fontId="32" fillId="12" borderId="103" xfId="16" applyNumberFormat="1" applyFont="1" applyFill="1" applyBorder="1"/>
    <xf numFmtId="172" fontId="36" fillId="12" borderId="75" xfId="16" applyNumberFormat="1" applyFont="1" applyFill="1" applyBorder="1"/>
    <xf numFmtId="172" fontId="32" fillId="13" borderId="42" xfId="8" applyNumberFormat="1" applyFont="1" applyFill="1" applyBorder="1" applyAlignment="1">
      <alignment vertical="center"/>
    </xf>
    <xf numFmtId="172" fontId="36" fillId="12" borderId="6" xfId="16" applyNumberFormat="1" applyFont="1" applyFill="1" applyBorder="1"/>
    <xf numFmtId="44" fontId="36" fillId="13" borderId="10" xfId="29" applyNumberFormat="1" applyFont="1" applyFill="1" applyBorder="1"/>
    <xf numFmtId="172" fontId="36" fillId="13" borderId="70" xfId="16" applyNumberFormat="1" applyFont="1" applyFill="1" applyBorder="1"/>
    <xf numFmtId="168" fontId="36" fillId="13" borderId="97" xfId="8" applyNumberFormat="1" applyFont="1" applyFill="1" applyBorder="1"/>
    <xf numFmtId="168" fontId="37" fillId="13" borderId="97" xfId="8" applyNumberFormat="1" applyFont="1" applyFill="1" applyBorder="1"/>
    <xf numFmtId="168" fontId="36" fillId="13" borderId="97" xfId="8" applyNumberFormat="1" applyFont="1" applyFill="1" applyBorder="1" applyAlignment="1">
      <alignment vertical="top"/>
    </xf>
    <xf numFmtId="168" fontId="37" fillId="13" borderId="97" xfId="8" applyNumberFormat="1" applyFont="1" applyFill="1" applyBorder="1" applyAlignment="1">
      <alignment vertical="top"/>
    </xf>
    <xf numFmtId="168" fontId="36" fillId="13" borderId="114" xfId="8" applyNumberFormat="1" applyFont="1" applyFill="1" applyBorder="1"/>
    <xf numFmtId="172" fontId="32" fillId="13" borderId="103" xfId="16" applyNumberFormat="1" applyFont="1" applyFill="1" applyBorder="1"/>
    <xf numFmtId="44" fontId="36" fillId="13" borderId="8" xfId="29" applyNumberFormat="1" applyFont="1" applyFill="1" applyBorder="1"/>
    <xf numFmtId="44" fontId="36" fillId="12" borderId="70" xfId="44" applyFont="1" applyFill="1" applyBorder="1"/>
    <xf numFmtId="172" fontId="36" fillId="12" borderId="8" xfId="29" applyNumberFormat="1" applyFont="1" applyFill="1" applyBorder="1"/>
    <xf numFmtId="172" fontId="32" fillId="13" borderId="42" xfId="29" applyNumberFormat="1" applyFont="1" applyFill="1" applyBorder="1" applyAlignment="1">
      <alignment vertical="center"/>
    </xf>
    <xf numFmtId="172" fontId="32" fillId="13" borderId="42" xfId="16" applyNumberFormat="1" applyFont="1" applyFill="1" applyBorder="1" applyAlignment="1">
      <alignment vertical="center"/>
    </xf>
    <xf numFmtId="172" fontId="32" fillId="13" borderId="10" xfId="16" applyNumberFormat="1" applyFont="1" applyFill="1" applyBorder="1" applyAlignment="1">
      <alignment vertical="center"/>
    </xf>
    <xf numFmtId="172" fontId="32" fillId="13" borderId="103" xfId="16" applyNumberFormat="1" applyFont="1" applyFill="1" applyBorder="1" applyAlignment="1">
      <alignment vertical="center"/>
    </xf>
    <xf numFmtId="172" fontId="32" fillId="12" borderId="70" xfId="16" applyNumberFormat="1" applyFont="1" applyFill="1" applyBorder="1" applyAlignment="1">
      <alignment vertical="center"/>
    </xf>
    <xf numFmtId="168" fontId="32" fillId="12" borderId="97" xfId="8" applyNumberFormat="1" applyFont="1" applyFill="1" applyBorder="1" applyAlignment="1">
      <alignment vertical="center"/>
    </xf>
    <xf numFmtId="168" fontId="32" fillId="12" borderId="98" xfId="8" applyNumberFormat="1" applyFont="1" applyFill="1" applyBorder="1" applyAlignment="1">
      <alignment vertical="center"/>
    </xf>
    <xf numFmtId="167" fontId="32" fillId="13" borderId="105" xfId="29" applyFont="1" applyFill="1" applyBorder="1" applyAlignment="1">
      <alignment horizontal="center" vertical="center" wrapText="1"/>
    </xf>
    <xf numFmtId="167" fontId="35" fillId="0" borderId="30" xfId="29" applyFont="1" applyFill="1" applyBorder="1" applyAlignment="1">
      <alignment horizontal="center"/>
    </xf>
    <xf numFmtId="167" fontId="36" fillId="0" borderId="31" xfId="29" applyFont="1" applyFill="1" applyBorder="1" applyAlignment="1">
      <alignment horizontal="center"/>
    </xf>
    <xf numFmtId="172" fontId="32" fillId="0" borderId="108" xfId="8" applyNumberFormat="1" applyFont="1" applyFill="1" applyBorder="1"/>
    <xf numFmtId="172" fontId="36" fillId="0" borderId="107" xfId="16" applyNumberFormat="1" applyFont="1" applyFill="1" applyBorder="1"/>
    <xf numFmtId="168" fontId="36" fillId="0" borderId="115" xfId="8" applyNumberFormat="1" applyFont="1" applyFill="1" applyBorder="1"/>
    <xf numFmtId="172" fontId="36" fillId="0" borderId="109" xfId="16" applyNumberFormat="1" applyFont="1" applyFill="1" applyBorder="1"/>
    <xf numFmtId="172" fontId="32" fillId="13" borderId="41" xfId="8" applyNumberFormat="1" applyFont="1" applyFill="1" applyBorder="1" applyAlignment="1">
      <alignment vertical="center"/>
    </xf>
    <xf numFmtId="172" fontId="36" fillId="0" borderId="30" xfId="16" applyNumberFormat="1" applyFont="1" applyFill="1" applyBorder="1"/>
    <xf numFmtId="44" fontId="36" fillId="0" borderId="106" xfId="44" applyFont="1" applyFill="1" applyBorder="1"/>
    <xf numFmtId="172" fontId="36" fillId="0" borderId="43" xfId="29" applyNumberFormat="1" applyFont="1" applyFill="1" applyBorder="1"/>
    <xf numFmtId="172" fontId="32" fillId="13" borderId="41" xfId="29" applyNumberFormat="1" applyFont="1" applyFill="1" applyBorder="1" applyAlignment="1">
      <alignment vertical="center"/>
    </xf>
    <xf numFmtId="172" fontId="32" fillId="13" borderId="41" xfId="16" applyNumberFormat="1" applyFont="1" applyFill="1" applyBorder="1" applyAlignment="1">
      <alignment vertical="center"/>
    </xf>
    <xf numFmtId="172" fontId="32" fillId="13" borderId="31" xfId="16" applyNumberFormat="1" applyFont="1" applyFill="1" applyBorder="1" applyAlignment="1">
      <alignment vertical="center"/>
    </xf>
    <xf numFmtId="172" fontId="32" fillId="13" borderId="108" xfId="16" applyNumberFormat="1" applyFont="1" applyFill="1" applyBorder="1" applyAlignment="1">
      <alignment vertical="center"/>
    </xf>
    <xf numFmtId="44" fontId="32" fillId="0" borderId="31" xfId="16" applyNumberFormat="1" applyFont="1" applyFill="1" applyBorder="1"/>
    <xf numFmtId="44" fontId="32" fillId="13" borderId="41" xfId="16" applyNumberFormat="1" applyFont="1" applyFill="1" applyBorder="1"/>
    <xf numFmtId="172" fontId="32" fillId="0" borderId="106" xfId="16" applyNumberFormat="1" applyFont="1" applyFill="1" applyBorder="1" applyAlignment="1">
      <alignment vertical="center"/>
    </xf>
    <xf numFmtId="168" fontId="32" fillId="0" borderId="107" xfId="8" applyNumberFormat="1" applyFont="1" applyFill="1" applyBorder="1" applyAlignment="1">
      <alignment vertical="center"/>
    </xf>
    <xf numFmtId="168" fontId="32" fillId="0" borderId="110" xfId="8" applyNumberFormat="1" applyFont="1" applyFill="1" applyBorder="1" applyAlignment="1">
      <alignment vertical="center"/>
    </xf>
    <xf numFmtId="167" fontId="36" fillId="0" borderId="112" xfId="29" applyFont="1" applyFill="1" applyBorder="1"/>
    <xf numFmtId="167" fontId="32" fillId="15" borderId="40" xfId="29" applyFont="1" applyFill="1" applyBorder="1" applyAlignment="1">
      <alignment horizontal="center" vertical="center" wrapText="1"/>
    </xf>
    <xf numFmtId="167" fontId="32" fillId="14" borderId="7" xfId="29" applyFont="1" applyFill="1" applyBorder="1"/>
    <xf numFmtId="172" fontId="36" fillId="14" borderId="67" xfId="16" applyNumberFormat="1" applyFont="1" applyFill="1" applyBorder="1"/>
    <xf numFmtId="168" fontId="36" fillId="14" borderId="101" xfId="8" applyNumberFormat="1" applyFont="1" applyFill="1" applyBorder="1"/>
    <xf numFmtId="168" fontId="37" fillId="14" borderId="101" xfId="8" applyNumberFormat="1" applyFont="1" applyFill="1" applyBorder="1"/>
    <xf numFmtId="168" fontId="37" fillId="14" borderId="113" xfId="8" applyNumberFormat="1" applyFont="1" applyFill="1" applyBorder="1"/>
    <xf numFmtId="172" fontId="32" fillId="14" borderId="57" xfId="16" applyNumberFormat="1" applyFont="1" applyFill="1" applyBorder="1"/>
    <xf numFmtId="44" fontId="36" fillId="14" borderId="7" xfId="29" applyNumberFormat="1" applyFont="1" applyFill="1" applyBorder="1"/>
    <xf numFmtId="44" fontId="36" fillId="14" borderId="61" xfId="29" applyNumberFormat="1" applyFont="1" applyFill="1" applyBorder="1"/>
    <xf numFmtId="172" fontId="36" fillId="14" borderId="101" xfId="16" applyNumberFormat="1" applyFont="1" applyFill="1" applyBorder="1"/>
    <xf numFmtId="168" fontId="36" fillId="14" borderId="113" xfId="8" applyNumberFormat="1" applyFont="1" applyFill="1" applyBorder="1"/>
    <xf numFmtId="172" fontId="32" fillId="14" borderId="66" xfId="44" applyNumberFormat="1" applyFont="1" applyFill="1" applyBorder="1"/>
    <xf numFmtId="168" fontId="36" fillId="14" borderId="7" xfId="8" applyNumberFormat="1" applyFont="1" applyFill="1" applyBorder="1"/>
    <xf numFmtId="172" fontId="32" fillId="15" borderId="40" xfId="44" applyNumberFormat="1" applyFont="1" applyFill="1" applyBorder="1" applyAlignment="1">
      <alignment vertical="center"/>
    </xf>
    <xf numFmtId="44" fontId="36" fillId="14" borderId="9" xfId="29" applyNumberFormat="1" applyFont="1" applyFill="1" applyBorder="1"/>
    <xf numFmtId="172" fontId="42" fillId="15" borderId="61" xfId="16" applyNumberFormat="1" applyFont="1" applyFill="1" applyBorder="1"/>
    <xf numFmtId="168" fontId="42" fillId="15" borderId="101" xfId="8" applyNumberFormat="1" applyFont="1" applyFill="1" applyBorder="1"/>
    <xf numFmtId="168" fontId="37" fillId="19" borderId="101" xfId="8" applyNumberFormat="1" applyFont="1" applyFill="1" applyBorder="1"/>
    <xf numFmtId="168" fontId="37" fillId="15" borderId="101" xfId="8" applyNumberFormat="1" applyFont="1" applyFill="1" applyBorder="1"/>
    <xf numFmtId="168" fontId="37" fillId="14" borderId="101" xfId="8" applyNumberFormat="1" applyFont="1" applyFill="1" applyBorder="1" applyAlignment="1">
      <alignment vertical="top"/>
    </xf>
    <xf numFmtId="172" fontId="36" fillId="14" borderId="67" xfId="44" applyNumberFormat="1" applyFont="1" applyFill="1" applyBorder="1"/>
    <xf numFmtId="172" fontId="36" fillId="14" borderId="116" xfId="16" applyNumberFormat="1" applyFont="1" applyFill="1" applyBorder="1"/>
    <xf numFmtId="172" fontId="32" fillId="15" borderId="40" xfId="29" applyNumberFormat="1" applyFont="1" applyFill="1" applyBorder="1" applyAlignment="1">
      <alignment vertical="center"/>
    </xf>
    <xf numFmtId="172" fontId="36" fillId="15" borderId="40" xfId="16" applyNumberFormat="1" applyFont="1" applyFill="1" applyBorder="1" applyAlignment="1">
      <alignment vertical="center"/>
    </xf>
    <xf numFmtId="168" fontId="36" fillId="15" borderId="40" xfId="8" applyNumberFormat="1" applyFont="1" applyFill="1" applyBorder="1" applyAlignment="1">
      <alignment vertical="center"/>
    </xf>
    <xf numFmtId="172" fontId="68" fillId="15" borderId="5" xfId="16" applyNumberFormat="1" applyFont="1" applyFill="1" applyBorder="1" applyAlignment="1"/>
    <xf numFmtId="10" fontId="69" fillId="15" borderId="66" xfId="5" applyNumberFormat="1" applyFont="1" applyFill="1" applyBorder="1" applyAlignment="1">
      <alignment vertical="top"/>
    </xf>
    <xf numFmtId="172" fontId="52" fillId="15" borderId="67" xfId="8" applyNumberFormat="1" applyFont="1" applyFill="1" applyBorder="1"/>
    <xf numFmtId="168" fontId="52" fillId="15" borderId="101" xfId="8" applyNumberFormat="1" applyFont="1" applyFill="1" applyBorder="1"/>
    <xf numFmtId="3" fontId="53" fillId="15" borderId="101" xfId="8" applyNumberFormat="1" applyFont="1" applyFill="1" applyBorder="1" applyAlignment="1">
      <alignment horizontal="right"/>
    </xf>
    <xf numFmtId="10" fontId="55" fillId="15" borderId="101" xfId="5" applyNumberFormat="1" applyFont="1" applyFill="1" applyBorder="1" applyAlignment="1">
      <alignment vertical="top"/>
    </xf>
    <xf numFmtId="168" fontId="52" fillId="15" borderId="102" xfId="8" applyNumberFormat="1" applyFont="1" applyFill="1" applyBorder="1"/>
    <xf numFmtId="10" fontId="56" fillId="15" borderId="9" xfId="5" applyNumberFormat="1" applyFont="1" applyFill="1" applyBorder="1" applyAlignment="1">
      <alignment vertical="top"/>
    </xf>
    <xf numFmtId="172" fontId="57" fillId="15" borderId="7" xfId="16" applyNumberFormat="1" applyFont="1" applyFill="1" applyBorder="1"/>
    <xf numFmtId="10" fontId="59" fillId="15" borderId="7" xfId="5" applyNumberFormat="1" applyFont="1" applyFill="1" applyBorder="1" applyAlignment="1">
      <alignment vertical="top"/>
    </xf>
    <xf numFmtId="167" fontId="32" fillId="14" borderId="42" xfId="29" applyFont="1" applyFill="1" applyBorder="1" applyAlignment="1">
      <alignment horizontal="center" vertical="center" wrapText="1"/>
    </xf>
    <xf numFmtId="167" fontId="32" fillId="14" borderId="8" xfId="29" applyFont="1" applyFill="1" applyBorder="1"/>
    <xf numFmtId="172" fontId="36" fillId="14" borderId="99" xfId="16" applyNumberFormat="1" applyFont="1" applyFill="1" applyBorder="1"/>
    <xf numFmtId="168" fontId="36" fillId="14" borderId="97" xfId="8" applyNumberFormat="1" applyFont="1" applyFill="1" applyBorder="1"/>
    <xf numFmtId="168" fontId="37" fillId="14" borderId="97" xfId="8" applyNumberFormat="1" applyFont="1" applyFill="1" applyBorder="1"/>
    <xf numFmtId="168" fontId="37" fillId="14" borderId="114" xfId="8" applyNumberFormat="1" applyFont="1" applyFill="1" applyBorder="1"/>
    <xf numFmtId="172" fontId="32" fillId="14" borderId="103" xfId="16" applyNumberFormat="1" applyFont="1" applyFill="1" applyBorder="1"/>
    <xf numFmtId="44" fontId="36" fillId="14" borderId="8" xfId="29" applyNumberFormat="1" applyFont="1" applyFill="1" applyBorder="1"/>
    <xf numFmtId="44" fontId="36" fillId="14" borderId="70" xfId="29" applyNumberFormat="1" applyFont="1" applyFill="1" applyBorder="1"/>
    <xf numFmtId="172" fontId="36" fillId="14" borderId="97" xfId="16" applyNumberFormat="1" applyFont="1" applyFill="1" applyBorder="1"/>
    <xf numFmtId="168" fontId="36" fillId="14" borderId="114" xfId="8" applyNumberFormat="1" applyFont="1" applyFill="1" applyBorder="1"/>
    <xf numFmtId="172" fontId="32" fillId="14" borderId="104" xfId="44" applyNumberFormat="1" applyFont="1" applyFill="1" applyBorder="1"/>
    <xf numFmtId="168" fontId="36" fillId="14" borderId="8" xfId="8" applyNumberFormat="1" applyFont="1" applyFill="1" applyBorder="1"/>
    <xf numFmtId="172" fontId="32" fillId="15" borderId="42" xfId="44" applyNumberFormat="1" applyFont="1" applyFill="1" applyBorder="1" applyAlignment="1">
      <alignment vertical="center"/>
    </xf>
    <xf numFmtId="44" fontId="36" fillId="14" borderId="10" xfId="29" applyNumberFormat="1" applyFont="1" applyFill="1" applyBorder="1"/>
    <xf numFmtId="172" fontId="36" fillId="14" borderId="70" xfId="16" applyNumberFormat="1" applyFont="1" applyFill="1" applyBorder="1"/>
    <xf numFmtId="168" fontId="37" fillId="19" borderId="97" xfId="8" applyNumberFormat="1" applyFont="1" applyFill="1" applyBorder="1"/>
    <xf numFmtId="171" fontId="36" fillId="14" borderId="97" xfId="8" applyNumberFormat="1" applyFont="1" applyFill="1" applyBorder="1"/>
    <xf numFmtId="168" fontId="36" fillId="14" borderId="97" xfId="8" applyNumberFormat="1" applyFont="1" applyFill="1" applyBorder="1" applyAlignment="1">
      <alignment vertical="top"/>
    </xf>
    <xf numFmtId="168" fontId="37" fillId="14" borderId="97" xfId="8" applyNumberFormat="1" applyFont="1" applyFill="1" applyBorder="1" applyAlignment="1">
      <alignment vertical="top"/>
    </xf>
    <xf numFmtId="172" fontId="36" fillId="14" borderId="99" xfId="44" applyNumberFormat="1" applyFont="1" applyFill="1" applyBorder="1"/>
    <xf numFmtId="172" fontId="36" fillId="14" borderId="117" xfId="16" applyNumberFormat="1" applyFont="1" applyFill="1" applyBorder="1"/>
    <xf numFmtId="172" fontId="32" fillId="15" borderId="42" xfId="29" applyNumberFormat="1" applyFont="1" applyFill="1" applyBorder="1" applyAlignment="1">
      <alignment vertical="center"/>
    </xf>
    <xf numFmtId="172" fontId="36" fillId="15" borderId="42" xfId="16" applyNumberFormat="1" applyFont="1" applyFill="1" applyBorder="1" applyAlignment="1">
      <alignment vertical="center"/>
    </xf>
    <xf numFmtId="168" fontId="36" fillId="15" borderId="42" xfId="8" applyNumberFormat="1" applyFont="1" applyFill="1" applyBorder="1" applyAlignment="1">
      <alignment vertical="center"/>
    </xf>
    <xf numFmtId="172" fontId="68" fillId="15" borderId="6" xfId="16" applyNumberFormat="1" applyFont="1" applyFill="1" applyBorder="1" applyAlignment="1"/>
    <xf numFmtId="10" fontId="69" fillId="15" borderId="104" xfId="5" applyNumberFormat="1" applyFont="1" applyFill="1" applyBorder="1" applyAlignment="1">
      <alignment vertical="top"/>
    </xf>
    <xf numFmtId="172" fontId="52" fillId="15" borderId="99" xfId="8" applyNumberFormat="1" applyFont="1" applyFill="1" applyBorder="1"/>
    <xf numFmtId="168" fontId="52" fillId="15" borderId="97" xfId="8" applyNumberFormat="1" applyFont="1" applyFill="1" applyBorder="1"/>
    <xf numFmtId="3" fontId="53" fillId="15" borderId="97" xfId="8" applyNumberFormat="1" applyFont="1" applyFill="1" applyBorder="1" applyAlignment="1">
      <alignment horizontal="right"/>
    </xf>
    <xf numFmtId="10" fontId="55" fillId="15" borderId="97" xfId="5" applyNumberFormat="1" applyFont="1" applyFill="1" applyBorder="1" applyAlignment="1">
      <alignment vertical="top"/>
    </xf>
    <xf numFmtId="168" fontId="52" fillId="15" borderId="98" xfId="8" applyNumberFormat="1" applyFont="1" applyFill="1" applyBorder="1"/>
    <xf numFmtId="10" fontId="56" fillId="15" borderId="10" xfId="5" applyNumberFormat="1" applyFont="1" applyFill="1" applyBorder="1" applyAlignment="1">
      <alignment vertical="top"/>
    </xf>
    <xf numFmtId="172" fontId="57" fillId="15" borderId="8" xfId="16" applyNumberFormat="1" applyFont="1" applyFill="1" applyBorder="1"/>
    <xf numFmtId="10" fontId="60" fillId="15" borderId="8" xfId="5" applyNumberFormat="1" applyFont="1" applyFill="1" applyBorder="1" applyAlignment="1">
      <alignment vertical="top"/>
    </xf>
    <xf numFmtId="167" fontId="32" fillId="0" borderId="105" xfId="29" applyFont="1" applyFill="1" applyBorder="1" applyAlignment="1">
      <alignment horizontal="center" vertical="center" wrapText="1"/>
    </xf>
    <xf numFmtId="167" fontId="32" fillId="0" borderId="43" xfId="29" applyFont="1" applyFill="1" applyBorder="1"/>
    <xf numFmtId="167" fontId="64" fillId="0" borderId="43" xfId="29" applyFont="1" applyFill="1" applyBorder="1" applyAlignment="1"/>
    <xf numFmtId="172" fontId="36" fillId="0" borderId="118" xfId="16" applyNumberFormat="1" applyFont="1" applyFill="1" applyBorder="1"/>
    <xf numFmtId="168" fontId="37" fillId="0" borderId="115" xfId="8" applyNumberFormat="1" applyFont="1" applyFill="1" applyBorder="1"/>
    <xf numFmtId="44" fontId="36" fillId="0" borderId="106" xfId="29" applyNumberFormat="1" applyFont="1" applyFill="1" applyBorder="1"/>
    <xf numFmtId="172" fontId="32" fillId="0" borderId="111" xfId="44" applyNumberFormat="1" applyFont="1" applyFill="1" applyBorder="1"/>
    <xf numFmtId="168" fontId="36" fillId="0" borderId="43" xfId="8" applyNumberFormat="1" applyFont="1" applyFill="1" applyBorder="1"/>
    <xf numFmtId="172" fontId="32" fillId="15" borderId="41" xfId="44" applyNumberFormat="1" applyFont="1" applyFill="1" applyBorder="1" applyAlignment="1">
      <alignment vertical="center"/>
    </xf>
    <xf numFmtId="168" fontId="37" fillId="19" borderId="107" xfId="8" applyNumberFormat="1" applyFont="1" applyFill="1" applyBorder="1"/>
    <xf numFmtId="172" fontId="36" fillId="0" borderId="118" xfId="44" applyNumberFormat="1" applyFont="1" applyFill="1" applyBorder="1"/>
    <xf numFmtId="172" fontId="36" fillId="0" borderId="119" xfId="16" applyNumberFormat="1" applyFont="1" applyFill="1" applyBorder="1"/>
    <xf numFmtId="172" fontId="32" fillId="15" borderId="41" xfId="29" applyNumberFormat="1" applyFont="1" applyFill="1" applyBorder="1" applyAlignment="1">
      <alignment vertical="center"/>
    </xf>
    <xf numFmtId="172" fontId="36" fillId="15" borderId="41" xfId="16" applyNumberFormat="1" applyFont="1" applyFill="1" applyBorder="1" applyAlignment="1">
      <alignment vertical="center"/>
    </xf>
    <xf numFmtId="168" fontId="36" fillId="15" borderId="41" xfId="8" applyNumberFormat="1" applyFont="1" applyFill="1" applyBorder="1" applyAlignment="1">
      <alignment vertical="center"/>
    </xf>
    <xf numFmtId="172" fontId="68" fillId="15" borderId="30" xfId="16" applyNumberFormat="1" applyFont="1" applyFill="1" applyBorder="1" applyAlignment="1"/>
    <xf numFmtId="10" fontId="69" fillId="15" borderId="111" xfId="5" applyNumberFormat="1" applyFont="1" applyFill="1" applyBorder="1" applyAlignment="1">
      <alignment vertical="top"/>
    </xf>
    <xf numFmtId="44" fontId="32" fillId="0" borderId="109" xfId="16" applyNumberFormat="1" applyFont="1" applyFill="1" applyBorder="1"/>
    <xf numFmtId="44" fontId="32" fillId="15" borderId="41" xfId="16" applyNumberFormat="1" applyFont="1" applyFill="1" applyBorder="1"/>
    <xf numFmtId="172" fontId="52" fillId="0" borderId="118" xfId="8" applyNumberFormat="1" applyFont="1" applyFill="1" applyBorder="1"/>
    <xf numFmtId="9" fontId="6" fillId="0" borderId="0" xfId="2" applyNumberFormat="1" applyFont="1" applyAlignment="1">
      <alignment horizontal="right"/>
    </xf>
    <xf numFmtId="8" fontId="82" fillId="0" borderId="0" xfId="1" applyNumberFormat="1" applyFont="1" applyBorder="1" applyAlignment="1">
      <alignment horizontal="left"/>
    </xf>
    <xf numFmtId="43" fontId="23" fillId="6" borderId="0" xfId="1" applyFont="1" applyFill="1"/>
    <xf numFmtId="0" fontId="23" fillId="6" borderId="0" xfId="1" applyNumberFormat="1" applyFont="1" applyFill="1" applyBorder="1"/>
    <xf numFmtId="0" fontId="33" fillId="0" borderId="0" xfId="29" applyNumberFormat="1" applyFont="1" applyFill="1" applyAlignment="1">
      <alignment vertical="center"/>
    </xf>
    <xf numFmtId="0" fontId="33" fillId="0" borderId="0" xfId="29" applyNumberFormat="1" applyFont="1" applyFill="1"/>
    <xf numFmtId="0" fontId="33" fillId="0" borderId="0" xfId="29" applyNumberFormat="1" applyFont="1" applyFill="1" applyBorder="1"/>
    <xf numFmtId="0" fontId="43" fillId="0" borderId="0" xfId="29" applyNumberFormat="1" applyFont="1" applyFill="1" applyBorder="1" applyAlignment="1">
      <alignment vertical="center"/>
    </xf>
    <xf numFmtId="0" fontId="43" fillId="0" borderId="0" xfId="29" applyNumberFormat="1" applyFont="1" applyFill="1" applyAlignment="1">
      <alignment vertical="center"/>
    </xf>
    <xf numFmtId="0" fontId="33" fillId="0" borderId="0" xfId="1" applyNumberFormat="1" applyFont="1" applyFill="1"/>
    <xf numFmtId="0" fontId="33" fillId="0" borderId="0" xfId="1" applyNumberFormat="1" applyFont="1" applyFill="1" applyBorder="1"/>
    <xf numFmtId="0" fontId="33" fillId="0" borderId="0" xfId="29" applyNumberFormat="1" applyFont="1" applyFill="1" applyBorder="1" applyAlignment="1">
      <alignment vertical="top"/>
    </xf>
    <xf numFmtId="0" fontId="33" fillId="0" borderId="0" xfId="29" applyNumberFormat="1" applyFont="1" applyFill="1" applyAlignment="1">
      <alignment vertical="top"/>
    </xf>
    <xf numFmtId="0" fontId="46" fillId="0" borderId="0" xfId="8" applyNumberFormat="1" applyFont="1" applyBorder="1" applyAlignment="1">
      <alignment horizontal="right"/>
    </xf>
    <xf numFmtId="0" fontId="46" fillId="0" borderId="0" xfId="29" applyNumberFormat="1" applyFont="1" applyFill="1" applyBorder="1" applyAlignment="1">
      <alignment horizontal="right"/>
    </xf>
    <xf numFmtId="0" fontId="46" fillId="0" borderId="0" xfId="1" applyNumberFormat="1" applyFont="1" applyFill="1" applyBorder="1"/>
    <xf numFmtId="0" fontId="45" fillId="0" borderId="0" xfId="29" applyNumberFormat="1" applyFont="1" applyFill="1" applyBorder="1"/>
    <xf numFmtId="0" fontId="45" fillId="0" borderId="0" xfId="29" applyNumberFormat="1" applyFont="1" applyFill="1"/>
    <xf numFmtId="0" fontId="45" fillId="0" borderId="0" xfId="29" applyNumberFormat="1" applyFont="1" applyFill="1" applyBorder="1" applyAlignment="1">
      <alignment vertical="center"/>
    </xf>
    <xf numFmtId="0" fontId="45" fillId="0" borderId="0" xfId="29" applyNumberFormat="1" applyFont="1" applyFill="1" applyAlignment="1">
      <alignment vertical="center"/>
    </xf>
    <xf numFmtId="0" fontId="45" fillId="0" borderId="0" xfId="29" applyNumberFormat="1" applyFont="1" applyFill="1" applyBorder="1" applyAlignment="1"/>
    <xf numFmtId="0" fontId="45" fillId="0" borderId="0" xfId="29" applyNumberFormat="1" applyFont="1" applyFill="1" applyAlignment="1"/>
    <xf numFmtId="0" fontId="54" fillId="0" borderId="0" xfId="29" applyNumberFormat="1" applyFont="1" applyFill="1" applyBorder="1" applyAlignment="1">
      <alignment vertical="center"/>
    </xf>
    <xf numFmtId="0" fontId="54" fillId="0" borderId="0" xfId="29" applyNumberFormat="1" applyFont="1" applyFill="1" applyAlignment="1">
      <alignment vertical="center"/>
    </xf>
    <xf numFmtId="0" fontId="9" fillId="0" borderId="0" xfId="29" applyNumberFormat="1" applyFont="1" applyFill="1" applyBorder="1"/>
    <xf numFmtId="0" fontId="9" fillId="0" borderId="0" xfId="29" applyNumberFormat="1" applyFont="1" applyFill="1"/>
    <xf numFmtId="0" fontId="43" fillId="0" borderId="0" xfId="29" applyNumberFormat="1" applyFont="1" applyFill="1"/>
    <xf numFmtId="0" fontId="33" fillId="0" borderId="0" xfId="29" applyNumberFormat="1" applyFont="1" applyAlignment="1">
      <alignment horizontal="center" vertical="center"/>
    </xf>
    <xf numFmtId="0" fontId="33" fillId="0" borderId="0" xfId="29" applyNumberFormat="1" applyFont="1"/>
    <xf numFmtId="0" fontId="33" fillId="0" borderId="0" xfId="8" applyNumberFormat="1" applyFont="1"/>
    <xf numFmtId="0" fontId="33" fillId="0" borderId="0" xfId="29" applyNumberFormat="1" applyFont="1" applyAlignment="1">
      <alignment vertical="center"/>
    </xf>
    <xf numFmtId="0" fontId="33" fillId="0" borderId="0" xfId="8" applyNumberFormat="1" applyFont="1" applyAlignment="1">
      <alignment vertical="center"/>
    </xf>
    <xf numFmtId="0" fontId="46" fillId="0" borderId="0" xfId="8" applyNumberFormat="1" applyFont="1" applyAlignment="1">
      <alignment horizontal="right" vertical="center"/>
    </xf>
    <xf numFmtId="0" fontId="92" fillId="0" borderId="0" xfId="1" applyNumberFormat="1" applyFont="1" applyFill="1" applyBorder="1" applyAlignment="1">
      <alignment vertical="center"/>
    </xf>
    <xf numFmtId="0" fontId="33" fillId="0" borderId="0" xfId="5" applyNumberFormat="1" applyFont="1" applyFill="1"/>
    <xf numFmtId="0" fontId="33" fillId="0" borderId="0" xfId="5" applyNumberFormat="1" applyFont="1" applyFill="1" applyAlignment="1">
      <alignment vertical="top"/>
    </xf>
    <xf numFmtId="0" fontId="33" fillId="0" borderId="0" xfId="8" applyNumberFormat="1" applyFont="1" applyAlignment="1">
      <alignment vertical="top"/>
    </xf>
    <xf numFmtId="0" fontId="33" fillId="0" borderId="0" xfId="29" applyNumberFormat="1" applyFont="1" applyAlignment="1">
      <alignment vertical="top"/>
    </xf>
    <xf numFmtId="0" fontId="46" fillId="0" borderId="0" xfId="29" applyNumberFormat="1" applyFont="1" applyFill="1" applyBorder="1" applyAlignment="1">
      <alignment horizontal="right" vertical="center"/>
    </xf>
    <xf numFmtId="0" fontId="46" fillId="0" borderId="0" xfId="8" applyNumberFormat="1" applyFont="1" applyBorder="1" applyAlignment="1">
      <alignment horizontal="right" vertical="center"/>
    </xf>
    <xf numFmtId="0" fontId="31" fillId="13" borderId="40" xfId="29" applyNumberFormat="1" applyFont="1" applyFill="1" applyBorder="1" applyAlignment="1">
      <alignment vertical="center"/>
    </xf>
    <xf numFmtId="0" fontId="31" fillId="13" borderId="11" xfId="29" applyNumberFormat="1" applyFont="1" applyFill="1" applyBorder="1" applyAlignment="1">
      <alignment vertical="center"/>
    </xf>
    <xf numFmtId="0" fontId="31" fillId="13" borderId="11" xfId="29" applyNumberFormat="1" applyFont="1" applyFill="1" applyBorder="1" applyAlignment="1">
      <alignment horizontal="left" vertical="center"/>
    </xf>
    <xf numFmtId="0" fontId="34" fillId="0" borderId="5" xfId="29" applyNumberFormat="1" applyFont="1" applyFill="1" applyBorder="1" applyAlignment="1">
      <alignment horizontal="center"/>
    </xf>
    <xf numFmtId="0" fontId="35" fillId="0" borderId="1" xfId="29" applyNumberFormat="1" applyFont="1" applyFill="1" applyBorder="1" applyAlignment="1">
      <alignment horizontal="center"/>
    </xf>
    <xf numFmtId="0" fontId="34" fillId="0" borderId="1" xfId="29" applyNumberFormat="1" applyFont="1" applyFill="1" applyBorder="1" applyAlignment="1">
      <alignment horizontal="center"/>
    </xf>
    <xf numFmtId="0" fontId="36" fillId="0" borderId="9" xfId="29" applyNumberFormat="1" applyFont="1" applyFill="1" applyBorder="1"/>
    <xf numFmtId="0" fontId="32" fillId="0" borderId="2" xfId="29" applyNumberFormat="1" applyFont="1" applyFill="1" applyBorder="1"/>
    <xf numFmtId="0" fontId="36" fillId="0" borderId="2" xfId="29" applyNumberFormat="1" applyFont="1" applyFill="1" applyBorder="1"/>
    <xf numFmtId="0" fontId="36" fillId="0" borderId="61" xfId="29" applyNumberFormat="1" applyFont="1" applyFill="1" applyBorder="1"/>
    <xf numFmtId="0" fontId="32" fillId="0" borderId="46" xfId="29" applyNumberFormat="1" applyFont="1" applyFill="1" applyBorder="1"/>
    <xf numFmtId="0" fontId="36" fillId="0" borderId="58" xfId="29" applyNumberFormat="1" applyFont="1" applyFill="1" applyBorder="1"/>
    <xf numFmtId="0" fontId="32" fillId="0" borderId="47" xfId="29" applyNumberFormat="1" applyFont="1" applyFill="1" applyBorder="1"/>
    <xf numFmtId="0" fontId="37" fillId="0" borderId="47" xfId="29" applyNumberFormat="1" applyFont="1" applyFill="1" applyBorder="1"/>
    <xf numFmtId="0" fontId="36" fillId="0" borderId="59" xfId="29" applyNumberFormat="1" applyFont="1" applyFill="1" applyBorder="1"/>
    <xf numFmtId="0" fontId="32" fillId="0" borderId="49" xfId="29" applyNumberFormat="1" applyFont="1" applyFill="1" applyBorder="1"/>
    <xf numFmtId="0" fontId="36" fillId="0" borderId="49" xfId="29" applyNumberFormat="1" applyFont="1" applyFill="1" applyBorder="1"/>
    <xf numFmtId="0" fontId="32" fillId="0" borderId="57" xfId="29" applyNumberFormat="1" applyFont="1" applyFill="1" applyBorder="1"/>
    <xf numFmtId="0" fontId="32" fillId="0" borderId="12" xfId="29" applyNumberFormat="1" applyFont="1" applyFill="1" applyBorder="1"/>
    <xf numFmtId="0" fontId="36" fillId="0" borderId="7" xfId="29" applyNumberFormat="1" applyFont="1" applyFill="1" applyBorder="1"/>
    <xf numFmtId="0" fontId="32" fillId="0" borderId="0" xfId="29" applyNumberFormat="1" applyFont="1" applyFill="1"/>
    <xf numFmtId="0" fontId="36" fillId="0" borderId="0" xfId="29" applyNumberFormat="1" applyFont="1" applyFill="1"/>
    <xf numFmtId="0" fontId="36" fillId="0" borderId="60" xfId="29" applyNumberFormat="1" applyFont="1" applyFill="1" applyBorder="1"/>
    <xf numFmtId="0" fontId="32" fillId="0" borderId="48" xfId="29" applyNumberFormat="1" applyFont="1" applyFill="1" applyBorder="1"/>
    <xf numFmtId="0" fontId="36" fillId="0" borderId="48" xfId="29" applyNumberFormat="1" applyFont="1" applyFill="1" applyBorder="1"/>
    <xf numFmtId="0" fontId="36" fillId="0" borderId="57" xfId="29" applyNumberFormat="1" applyFont="1" applyFill="1" applyBorder="1"/>
    <xf numFmtId="0" fontId="36" fillId="0" borderId="12" xfId="29" applyNumberFormat="1" applyFont="1" applyFill="1" applyBorder="1"/>
    <xf numFmtId="0" fontId="32" fillId="0" borderId="0" xfId="29" applyNumberFormat="1" applyFont="1" applyFill="1" applyBorder="1"/>
    <xf numFmtId="0" fontId="36" fillId="0" borderId="0" xfId="29" applyNumberFormat="1" applyFont="1" applyFill="1" applyBorder="1"/>
    <xf numFmtId="0" fontId="32" fillId="13" borderId="40" xfId="29" applyNumberFormat="1" applyFont="1" applyFill="1" applyBorder="1" applyAlignment="1">
      <alignment vertical="center"/>
    </xf>
    <xf numFmtId="0" fontId="32" fillId="13" borderId="11" xfId="29" applyNumberFormat="1" applyFont="1" applyFill="1" applyBorder="1" applyAlignment="1">
      <alignment vertical="center"/>
    </xf>
    <xf numFmtId="0" fontId="36" fillId="0" borderId="5" xfId="29" applyNumberFormat="1" applyFont="1" applyFill="1" applyBorder="1"/>
    <xf numFmtId="0" fontId="32" fillId="0" borderId="1" xfId="29" applyNumberFormat="1" applyFont="1" applyFill="1" applyBorder="1"/>
    <xf numFmtId="0" fontId="36" fillId="0" borderId="1" xfId="29" applyNumberFormat="1" applyFont="1" applyFill="1" applyBorder="1"/>
    <xf numFmtId="0" fontId="36" fillId="0" borderId="58" xfId="29" applyNumberFormat="1" applyFont="1" applyFill="1" applyBorder="1" applyAlignment="1">
      <alignment vertical="top"/>
    </xf>
    <xf numFmtId="0" fontId="32" fillId="0" borderId="47" xfId="29" applyNumberFormat="1" applyFont="1" applyFill="1" applyBorder="1" applyAlignment="1">
      <alignment vertical="top"/>
    </xf>
    <xf numFmtId="0" fontId="36" fillId="0" borderId="47" xfId="29" applyNumberFormat="1" applyFont="1" applyFill="1" applyBorder="1" applyAlignment="1">
      <alignment vertical="top"/>
    </xf>
    <xf numFmtId="0" fontId="37" fillId="0" borderId="58" xfId="29" applyNumberFormat="1" applyFont="1" applyFill="1" applyBorder="1" applyAlignment="1">
      <alignment vertical="top"/>
    </xf>
    <xf numFmtId="0" fontId="124" fillId="0" borderId="47" xfId="29" applyNumberFormat="1" applyFont="1" applyFill="1" applyBorder="1" applyAlignment="1">
      <alignment vertical="top"/>
    </xf>
    <xf numFmtId="0" fontId="37" fillId="0" borderId="47" xfId="29" applyNumberFormat="1" applyFont="1" applyFill="1" applyBorder="1" applyAlignment="1">
      <alignment vertical="top"/>
    </xf>
    <xf numFmtId="0" fontId="37" fillId="0" borderId="47" xfId="29" applyNumberFormat="1" applyFont="1" applyFill="1" applyBorder="1" applyAlignment="1">
      <alignment vertical="top" wrapText="1"/>
    </xf>
    <xf numFmtId="0" fontId="36" fillId="13" borderId="40" xfId="29" applyNumberFormat="1" applyFont="1" applyFill="1" applyBorder="1" applyAlignment="1">
      <alignment vertical="center"/>
    </xf>
    <xf numFmtId="0" fontId="36" fillId="13" borderId="11" xfId="29" applyNumberFormat="1" applyFont="1" applyFill="1" applyBorder="1" applyAlignment="1">
      <alignment vertical="center"/>
    </xf>
    <xf numFmtId="0" fontId="36" fillId="13" borderId="9" xfId="29" applyNumberFormat="1" applyFont="1" applyFill="1" applyBorder="1" applyAlignment="1">
      <alignment vertical="center"/>
    </xf>
    <xf numFmtId="0" fontId="32" fillId="13" borderId="2" xfId="29" applyNumberFormat="1" applyFont="1" applyFill="1" applyBorder="1" applyAlignment="1">
      <alignment vertical="center"/>
    </xf>
    <xf numFmtId="0" fontId="36" fillId="13" borderId="2" xfId="29" applyNumberFormat="1" applyFont="1" applyFill="1" applyBorder="1" applyAlignment="1">
      <alignment vertical="center"/>
    </xf>
    <xf numFmtId="0" fontId="36" fillId="13" borderId="57" xfId="29" applyNumberFormat="1" applyFont="1" applyFill="1" applyBorder="1" applyAlignment="1">
      <alignment vertical="center"/>
    </xf>
    <xf numFmtId="0" fontId="32" fillId="13" borderId="12" xfId="29" applyNumberFormat="1" applyFont="1" applyFill="1" applyBorder="1" applyAlignment="1">
      <alignment vertical="center"/>
    </xf>
    <xf numFmtId="0" fontId="36" fillId="13" borderId="12" xfId="29" applyNumberFormat="1" applyFont="1" applyFill="1" applyBorder="1" applyAlignment="1">
      <alignment vertical="center"/>
    </xf>
    <xf numFmtId="0" fontId="36" fillId="13" borderId="40" xfId="29" applyNumberFormat="1" applyFont="1" applyFill="1" applyBorder="1"/>
    <xf numFmtId="0" fontId="36" fillId="13" borderId="11" xfId="29" applyNumberFormat="1" applyFont="1" applyFill="1" applyBorder="1"/>
    <xf numFmtId="0" fontId="32" fillId="0" borderId="61" xfId="29" applyNumberFormat="1" applyFont="1" applyFill="1" applyBorder="1" applyAlignment="1">
      <alignment vertical="center"/>
    </xf>
    <xf numFmtId="0" fontId="32" fillId="0" borderId="46" xfId="29" applyNumberFormat="1" applyFont="1" applyFill="1" applyBorder="1" applyAlignment="1">
      <alignment vertical="center"/>
    </xf>
    <xf numFmtId="0" fontId="32" fillId="0" borderId="58" xfId="29" applyNumberFormat="1" applyFont="1" applyFill="1" applyBorder="1" applyAlignment="1">
      <alignment vertical="center"/>
    </xf>
    <xf numFmtId="0" fontId="32" fillId="0" borderId="47" xfId="29" applyNumberFormat="1" applyFont="1" applyFill="1" applyBorder="1" applyAlignment="1">
      <alignment vertical="center"/>
    </xf>
    <xf numFmtId="0" fontId="32" fillId="0" borderId="59" xfId="29" applyNumberFormat="1" applyFont="1" applyFill="1" applyBorder="1" applyAlignment="1">
      <alignment vertical="center"/>
    </xf>
    <xf numFmtId="0" fontId="32" fillId="0" borderId="49" xfId="29" applyNumberFormat="1" applyFont="1" applyFill="1" applyBorder="1" applyAlignment="1">
      <alignment vertical="center"/>
    </xf>
    <xf numFmtId="0" fontId="34" fillId="0" borderId="0" xfId="29" applyNumberFormat="1" applyFont="1"/>
    <xf numFmtId="0" fontId="35" fillId="0" borderId="0" xfId="29" applyNumberFormat="1" applyFont="1"/>
    <xf numFmtId="0" fontId="41" fillId="0" borderId="0" xfId="29" applyNumberFormat="1" applyFont="1"/>
    <xf numFmtId="0" fontId="129" fillId="0" borderId="0" xfId="29" applyNumberFormat="1" applyFont="1"/>
    <xf numFmtId="0" fontId="31" fillId="5" borderId="40" xfId="29" applyNumberFormat="1" applyFont="1" applyFill="1" applyBorder="1" applyAlignment="1">
      <alignment vertical="center"/>
    </xf>
    <xf numFmtId="0" fontId="31" fillId="5" borderId="11" xfId="29" applyNumberFormat="1" applyFont="1" applyFill="1" applyBorder="1" applyAlignment="1">
      <alignment vertical="center"/>
    </xf>
    <xf numFmtId="0" fontId="31" fillId="5" borderId="11" xfId="29" applyNumberFormat="1" applyFont="1" applyFill="1" applyBorder="1" applyAlignment="1">
      <alignment horizontal="center" vertical="center"/>
    </xf>
    <xf numFmtId="0" fontId="35" fillId="0" borderId="5" xfId="29" applyNumberFormat="1" applyFont="1" applyFill="1" applyBorder="1"/>
    <xf numFmtId="0" fontId="35" fillId="0" borderId="1" xfId="29" applyNumberFormat="1" applyFont="1" applyFill="1" applyBorder="1"/>
    <xf numFmtId="0" fontId="34" fillId="0" borderId="1" xfId="29" applyNumberFormat="1" applyFont="1" applyFill="1" applyBorder="1"/>
    <xf numFmtId="0" fontId="32" fillId="0" borderId="9" xfId="29" applyNumberFormat="1" applyFont="1" applyFill="1" applyBorder="1"/>
    <xf numFmtId="0" fontId="32" fillId="0" borderId="61" xfId="29" applyNumberFormat="1" applyFont="1" applyFill="1" applyBorder="1"/>
    <xf numFmtId="0" fontId="37" fillId="0" borderId="46" xfId="29" applyNumberFormat="1" applyFont="1" applyFill="1" applyBorder="1"/>
    <xf numFmtId="0" fontId="32" fillId="0" borderId="58" xfId="29" applyNumberFormat="1" applyFont="1" applyFill="1" applyBorder="1"/>
    <xf numFmtId="0" fontId="129" fillId="0" borderId="58" xfId="29" applyNumberFormat="1" applyFont="1" applyBorder="1"/>
    <xf numFmtId="0" fontId="129" fillId="0" borderId="47" xfId="29" applyNumberFormat="1" applyFont="1" applyBorder="1"/>
    <xf numFmtId="0" fontId="41" fillId="0" borderId="47" xfId="29" applyNumberFormat="1" applyFont="1" applyBorder="1"/>
    <xf numFmtId="0" fontId="129" fillId="0" borderId="59" xfId="29" applyNumberFormat="1" applyFont="1" applyBorder="1"/>
    <xf numFmtId="0" fontId="129" fillId="0" borderId="49" xfId="29" applyNumberFormat="1" applyFont="1" applyBorder="1"/>
    <xf numFmtId="0" fontId="41" fillId="0" borderId="49" xfId="29" applyNumberFormat="1" applyFont="1" applyBorder="1"/>
    <xf numFmtId="0" fontId="37" fillId="0" borderId="49" xfId="29" applyNumberFormat="1" applyFont="1" applyFill="1" applyBorder="1"/>
    <xf numFmtId="0" fontId="32" fillId="0" borderId="71" xfId="29" applyNumberFormat="1" applyFont="1" applyFill="1" applyBorder="1"/>
    <xf numFmtId="0" fontId="32" fillId="0" borderId="72" xfId="29" applyNumberFormat="1" applyFont="1" applyFill="1" applyBorder="1"/>
    <xf numFmtId="0" fontId="36" fillId="0" borderId="72" xfId="29" applyNumberFormat="1" applyFont="1" applyFill="1" applyBorder="1"/>
    <xf numFmtId="0" fontId="32" fillId="0" borderId="59" xfId="29" applyNumberFormat="1" applyFont="1" applyFill="1" applyBorder="1"/>
    <xf numFmtId="0" fontId="32" fillId="0" borderId="7" xfId="29" applyNumberFormat="1" applyFont="1" applyFill="1" applyBorder="1"/>
    <xf numFmtId="0" fontId="32" fillId="5" borderId="40" xfId="29" applyNumberFormat="1" applyFont="1" applyFill="1" applyBorder="1" applyAlignment="1">
      <alignment vertical="center"/>
    </xf>
    <xf numFmtId="0" fontId="32" fillId="5" borderId="11" xfId="29" applyNumberFormat="1" applyFont="1" applyFill="1" applyBorder="1" applyAlignment="1">
      <alignment vertical="center"/>
    </xf>
    <xf numFmtId="0" fontId="32" fillId="0" borderId="5" xfId="29" applyNumberFormat="1" applyFont="1" applyFill="1" applyBorder="1"/>
    <xf numFmtId="0" fontId="124" fillId="19" borderId="58" xfId="29" applyNumberFormat="1" applyFont="1" applyFill="1" applyBorder="1"/>
    <xf numFmtId="0" fontId="123" fillId="19" borderId="47" xfId="29" applyNumberFormat="1" applyFont="1" applyFill="1" applyBorder="1"/>
    <xf numFmtId="0" fontId="123" fillId="19" borderId="58" xfId="29" applyNumberFormat="1" applyFont="1" applyFill="1" applyBorder="1"/>
    <xf numFmtId="0" fontId="128" fillId="19" borderId="47" xfId="29" applyNumberFormat="1" applyFont="1" applyFill="1" applyBorder="1"/>
    <xf numFmtId="0" fontId="32" fillId="0" borderId="58" xfId="29" applyNumberFormat="1" applyFont="1" applyFill="1" applyBorder="1" applyAlignment="1">
      <alignment vertical="top"/>
    </xf>
    <xf numFmtId="0" fontId="36" fillId="5" borderId="11" xfId="29" applyNumberFormat="1" applyFont="1" applyFill="1" applyBorder="1" applyAlignment="1">
      <alignment vertical="center"/>
    </xf>
    <xf numFmtId="0" fontId="32" fillId="0" borderId="7" xfId="29" applyNumberFormat="1" applyFont="1" applyFill="1" applyBorder="1" applyAlignment="1">
      <alignment vertical="center"/>
    </xf>
    <xf numFmtId="0" fontId="32" fillId="0" borderId="0" xfId="29" applyNumberFormat="1" applyFont="1" applyFill="1" applyBorder="1" applyAlignment="1">
      <alignment vertical="center"/>
    </xf>
    <xf numFmtId="0" fontId="36" fillId="0" borderId="0" xfId="29" applyNumberFormat="1" applyFont="1" applyFill="1" applyAlignment="1">
      <alignment vertical="center"/>
    </xf>
    <xf numFmtId="0" fontId="36" fillId="0" borderId="2" xfId="29" applyNumberFormat="1" applyFont="1" applyFill="1" applyBorder="1" applyAlignment="1">
      <alignment vertical="center"/>
    </xf>
    <xf numFmtId="0" fontId="47" fillId="5" borderId="5" xfId="29" applyNumberFormat="1" applyFont="1" applyFill="1" applyBorder="1" applyAlignment="1"/>
    <xf numFmtId="0" fontId="47" fillId="5" borderId="1" xfId="29" applyNumberFormat="1" applyFont="1" applyFill="1" applyBorder="1" applyAlignment="1"/>
    <xf numFmtId="0" fontId="38" fillId="5" borderId="1" xfId="29" applyNumberFormat="1" applyFont="1" applyFill="1" applyBorder="1" applyAlignment="1"/>
    <xf numFmtId="0" fontId="32" fillId="5" borderId="66" xfId="29" applyNumberFormat="1" applyFont="1" applyFill="1" applyBorder="1"/>
    <xf numFmtId="0" fontId="32" fillId="5" borderId="13" xfId="29" applyNumberFormat="1" applyFont="1" applyFill="1" applyBorder="1"/>
    <xf numFmtId="0" fontId="36" fillId="5" borderId="13" xfId="29" applyNumberFormat="1" applyFont="1" applyFill="1" applyBorder="1"/>
    <xf numFmtId="0" fontId="68" fillId="5" borderId="40" xfId="29" applyNumberFormat="1" applyFont="1" applyFill="1" applyBorder="1" applyAlignment="1">
      <alignment vertical="center"/>
    </xf>
    <xf numFmtId="0" fontId="68" fillId="5" borderId="11" xfId="29" applyNumberFormat="1" applyFont="1" applyFill="1" applyBorder="1"/>
    <xf numFmtId="0" fontId="51" fillId="5" borderId="11" xfId="29" applyNumberFormat="1" applyFont="1" applyFill="1" applyBorder="1"/>
    <xf numFmtId="0" fontId="52" fillId="0" borderId="61" xfId="29" applyNumberFormat="1" applyFont="1" applyFill="1" applyBorder="1"/>
    <xf numFmtId="0" fontId="52" fillId="0" borderId="46" xfId="29" applyNumberFormat="1" applyFont="1" applyFill="1" applyBorder="1"/>
    <xf numFmtId="0" fontId="48" fillId="0" borderId="46" xfId="29" applyNumberFormat="1" applyFont="1" applyFill="1" applyBorder="1"/>
    <xf numFmtId="0" fontId="48" fillId="0" borderId="70" xfId="29" applyNumberFormat="1" applyFont="1" applyFill="1" applyBorder="1"/>
    <xf numFmtId="0" fontId="48" fillId="0" borderId="69" xfId="29" applyNumberFormat="1" applyFont="1" applyFill="1" applyBorder="1"/>
    <xf numFmtId="0" fontId="52" fillId="0" borderId="59" xfId="29" applyNumberFormat="1" applyFont="1" applyFill="1" applyBorder="1"/>
    <xf numFmtId="0" fontId="52" fillId="0" borderId="49" xfId="29" applyNumberFormat="1" applyFont="1" applyFill="1" applyBorder="1"/>
    <xf numFmtId="0" fontId="48" fillId="0" borderId="74" xfId="29" applyNumberFormat="1" applyFont="1" applyFill="1" applyBorder="1"/>
    <xf numFmtId="0" fontId="52" fillId="0" borderId="9" xfId="16" applyNumberFormat="1" applyFont="1" applyFill="1" applyBorder="1" applyAlignment="1">
      <alignment horizontal="left"/>
    </xf>
    <xf numFmtId="0" fontId="52" fillId="0" borderId="2" xfId="16" applyNumberFormat="1" applyFont="1" applyFill="1" applyBorder="1" applyAlignment="1">
      <alignment horizontal="left"/>
    </xf>
    <xf numFmtId="0" fontId="45" fillId="0" borderId="10" xfId="29" applyNumberFormat="1" applyFont="1" applyFill="1" applyBorder="1"/>
    <xf numFmtId="0" fontId="57" fillId="0" borderId="7" xfId="29" applyNumberFormat="1" applyFont="1" applyFill="1" applyBorder="1"/>
    <xf numFmtId="0" fontId="57" fillId="0" borderId="0" xfId="29" applyNumberFormat="1" applyFont="1" applyFill="1" applyBorder="1"/>
    <xf numFmtId="0" fontId="57" fillId="0" borderId="8" xfId="29" applyNumberFormat="1" applyFont="1" applyFill="1" applyBorder="1"/>
    <xf numFmtId="0" fontId="36" fillId="0" borderId="10" xfId="29" applyNumberFormat="1" applyFont="1" applyFill="1" applyBorder="1"/>
    <xf numFmtId="0" fontId="47" fillId="5" borderId="1" xfId="29" applyNumberFormat="1" applyFont="1" applyFill="1" applyBorder="1" applyAlignment="1">
      <alignment vertical="center"/>
    </xf>
    <xf numFmtId="0" fontId="47" fillId="5" borderId="66" xfId="29" applyNumberFormat="1" applyFont="1" applyFill="1" applyBorder="1" applyAlignment="1">
      <alignment vertical="center"/>
    </xf>
    <xf numFmtId="0" fontId="47" fillId="5" borderId="13" xfId="29" applyNumberFormat="1" applyFont="1" applyFill="1" applyBorder="1" applyAlignment="1">
      <alignment vertical="center"/>
    </xf>
    <xf numFmtId="0" fontId="129" fillId="0" borderId="0" xfId="29" applyNumberFormat="1" applyFont="1" applyFill="1"/>
    <xf numFmtId="0" fontId="47" fillId="0" borderId="0" xfId="29" applyNumberFormat="1" applyFont="1" applyFill="1" applyBorder="1" applyAlignment="1">
      <alignment vertical="center"/>
    </xf>
    <xf numFmtId="0" fontId="133" fillId="0" borderId="0" xfId="8" applyNumberFormat="1" applyFont="1" applyBorder="1"/>
    <xf numFmtId="0" fontId="63" fillId="0" borderId="0" xfId="8" applyNumberFormat="1" applyFont="1" applyBorder="1" applyAlignment="1">
      <alignment horizontal="right"/>
    </xf>
    <xf numFmtId="0" fontId="137" fillId="0" borderId="0" xfId="8" applyNumberFormat="1" applyFont="1" applyBorder="1" applyAlignment="1">
      <alignment horizontal="right"/>
    </xf>
    <xf numFmtId="0" fontId="41" fillId="0" borderId="0" xfId="29" applyNumberFormat="1" applyFont="1" applyBorder="1"/>
    <xf numFmtId="0" fontId="63" fillId="0" borderId="0" xfId="8" applyNumberFormat="1" applyFont="1" applyBorder="1" applyAlignment="1">
      <alignment horizontal="center"/>
    </xf>
    <xf numFmtId="0" fontId="138" fillId="0" borderId="0" xfId="8" applyNumberFormat="1" applyFont="1" applyFill="1" applyBorder="1" applyAlignment="1">
      <alignment horizontal="right"/>
    </xf>
    <xf numFmtId="0" fontId="138" fillId="0" borderId="0" xfId="8" applyNumberFormat="1" applyFont="1" applyFill="1" applyBorder="1" applyAlignment="1">
      <alignment horizontal="left"/>
    </xf>
    <xf numFmtId="0" fontId="31" fillId="0" borderId="40" xfId="29" applyNumberFormat="1" applyFont="1" applyFill="1" applyBorder="1" applyAlignment="1">
      <alignment vertical="center"/>
    </xf>
    <xf numFmtId="0" fontId="31" fillId="0" borderId="11" xfId="29" applyNumberFormat="1" applyFont="1" applyFill="1" applyBorder="1" applyAlignment="1"/>
    <xf numFmtId="0" fontId="31" fillId="0" borderId="11" xfId="29" applyNumberFormat="1" applyFont="1" applyFill="1" applyBorder="1" applyAlignment="1">
      <alignment horizontal="center"/>
    </xf>
    <xf numFmtId="0" fontId="36" fillId="0" borderId="67" xfId="29" applyNumberFormat="1" applyFont="1" applyFill="1" applyBorder="1"/>
    <xf numFmtId="0" fontId="36" fillId="0" borderId="68" xfId="29" applyNumberFormat="1" applyFont="1" applyFill="1" applyBorder="1"/>
    <xf numFmtId="0" fontId="37" fillId="0" borderId="58" xfId="29" applyNumberFormat="1" applyFont="1" applyFill="1" applyBorder="1"/>
    <xf numFmtId="0" fontId="37" fillId="0" borderId="60" xfId="29" applyNumberFormat="1" applyFont="1" applyFill="1" applyBorder="1"/>
    <xf numFmtId="0" fontId="37" fillId="0" borderId="48" xfId="29" applyNumberFormat="1" applyFont="1" applyFill="1" applyBorder="1"/>
    <xf numFmtId="0" fontId="32" fillId="0" borderId="13" xfId="29" applyNumberFormat="1" applyFont="1" applyFill="1" applyBorder="1"/>
    <xf numFmtId="0" fontId="36" fillId="0" borderId="13" xfId="29" applyNumberFormat="1" applyFont="1" applyFill="1" applyBorder="1"/>
    <xf numFmtId="0" fontId="36" fillId="15" borderId="40" xfId="29" applyNumberFormat="1" applyFont="1" applyFill="1" applyBorder="1" applyAlignment="1">
      <alignment vertical="center"/>
    </xf>
    <xf numFmtId="0" fontId="32" fillId="15" borderId="11" xfId="29" applyNumberFormat="1" applyFont="1" applyFill="1" applyBorder="1" applyAlignment="1">
      <alignment vertical="center"/>
    </xf>
    <xf numFmtId="0" fontId="36" fillId="15" borderId="11" xfId="29" applyNumberFormat="1" applyFont="1" applyFill="1" applyBorder="1" applyAlignment="1">
      <alignment vertical="center"/>
    </xf>
    <xf numFmtId="0" fontId="36" fillId="19" borderId="58" xfId="29" applyNumberFormat="1" applyFont="1" applyFill="1" applyBorder="1"/>
    <xf numFmtId="0" fontId="36" fillId="19" borderId="47" xfId="29" applyNumberFormat="1" applyFont="1" applyFill="1" applyBorder="1"/>
    <xf numFmtId="0" fontId="36" fillId="0" borderId="76" xfId="29" applyNumberFormat="1" applyFont="1" applyFill="1" applyBorder="1"/>
    <xf numFmtId="0" fontId="32" fillId="15" borderId="40" xfId="29" applyNumberFormat="1" applyFont="1" applyFill="1" applyBorder="1" applyAlignment="1">
      <alignment vertical="center"/>
    </xf>
    <xf numFmtId="0" fontId="68" fillId="15" borderId="5" xfId="29" applyNumberFormat="1" applyFont="1" applyFill="1" applyBorder="1" applyAlignment="1"/>
    <xf numFmtId="0" fontId="68" fillId="15" borderId="1" xfId="29" applyNumberFormat="1" applyFont="1" applyFill="1" applyBorder="1" applyAlignment="1"/>
    <xf numFmtId="0" fontId="36" fillId="15" borderId="66" xfId="29" applyNumberFormat="1" applyFont="1" applyFill="1" applyBorder="1"/>
    <xf numFmtId="0" fontId="68" fillId="15" borderId="13" xfId="29" applyNumberFormat="1" applyFont="1" applyFill="1" applyBorder="1" applyAlignment="1">
      <alignment vertical="center"/>
    </xf>
    <xf numFmtId="0" fontId="50" fillId="15" borderId="40" xfId="29" applyNumberFormat="1" applyFont="1" applyFill="1" applyBorder="1" applyAlignment="1">
      <alignment vertical="center"/>
    </xf>
    <xf numFmtId="0" fontId="9" fillId="15" borderId="11" xfId="29" applyNumberFormat="1" applyFont="1" applyFill="1" applyBorder="1"/>
    <xf numFmtId="0" fontId="51" fillId="15" borderId="11" xfId="29" applyNumberFormat="1" applyFont="1" applyFill="1" applyBorder="1"/>
    <xf numFmtId="0" fontId="52" fillId="0" borderId="67" xfId="29" applyNumberFormat="1" applyFont="1" applyFill="1" applyBorder="1"/>
    <xf numFmtId="0" fontId="52" fillId="0" borderId="68" xfId="29" applyNumberFormat="1" applyFont="1" applyFill="1" applyBorder="1"/>
    <xf numFmtId="0" fontId="48" fillId="0" borderId="68" xfId="29" applyNumberFormat="1" applyFont="1" applyFill="1" applyBorder="1"/>
    <xf numFmtId="0" fontId="48" fillId="0" borderId="59" xfId="29" applyNumberFormat="1" applyFont="1" applyFill="1" applyBorder="1"/>
    <xf numFmtId="0" fontId="48" fillId="0" borderId="49" xfId="29" applyNumberFormat="1" applyFont="1" applyFill="1" applyBorder="1"/>
    <xf numFmtId="0" fontId="48" fillId="0" borderId="9" xfId="29" applyNumberFormat="1" applyFont="1" applyFill="1" applyBorder="1"/>
    <xf numFmtId="0" fontId="48" fillId="0" borderId="2" xfId="29" applyNumberFormat="1" applyFont="1" applyFill="1" applyBorder="1"/>
    <xf numFmtId="0" fontId="45" fillId="0" borderId="2" xfId="29" applyNumberFormat="1" applyFont="1" applyFill="1" applyBorder="1"/>
    <xf numFmtId="0" fontId="48" fillId="0" borderId="0" xfId="29" applyNumberFormat="1" applyFont="1" applyFill="1" applyBorder="1"/>
    <xf numFmtId="0" fontId="9" fillId="15" borderId="1" xfId="29" applyNumberFormat="1" applyFont="1" applyFill="1" applyBorder="1" applyAlignment="1"/>
    <xf numFmtId="0" fontId="64" fillId="0" borderId="0" xfId="29" applyNumberFormat="1" applyFont="1" applyFill="1"/>
    <xf numFmtId="0" fontId="62" fillId="0" borderId="0" xfId="29" applyNumberFormat="1" applyFont="1" applyFill="1"/>
    <xf numFmtId="0" fontId="71" fillId="0" borderId="0" xfId="29" applyNumberFormat="1" applyFont="1" applyFill="1"/>
    <xf numFmtId="0" fontId="72" fillId="0" borderId="0" xfId="29" applyNumberFormat="1" applyFont="1" applyFill="1"/>
    <xf numFmtId="0" fontId="36" fillId="0" borderId="0" xfId="29" applyNumberFormat="1" applyFont="1" applyFill="1" applyAlignment="1">
      <alignment horizontal="right"/>
    </xf>
    <xf numFmtId="0" fontId="36" fillId="0" borderId="0" xfId="29" applyNumberFormat="1" applyFont="1" applyFill="1" applyAlignment="1"/>
    <xf numFmtId="0" fontId="67" fillId="0" borderId="0" xfId="29" applyNumberFormat="1" applyFont="1" applyFill="1" applyAlignment="1"/>
    <xf numFmtId="0" fontId="76" fillId="0" borderId="0" xfId="29" applyNumberFormat="1" applyFont="1" applyFill="1" applyAlignment="1"/>
    <xf numFmtId="0" fontId="36" fillId="0" borderId="0" xfId="29" applyNumberFormat="1" applyFont="1" applyFill="1" applyAlignment="1">
      <alignment vertical="top"/>
    </xf>
    <xf numFmtId="0" fontId="76" fillId="0" borderId="0" xfId="29" applyNumberFormat="1" applyFont="1" applyFill="1" applyAlignment="1">
      <alignment vertical="top"/>
    </xf>
    <xf numFmtId="0" fontId="32" fillId="0" borderId="0" xfId="29" applyNumberFormat="1" applyFont="1" applyFill="1" applyAlignment="1"/>
    <xf numFmtId="0" fontId="32" fillId="0" borderId="0" xfId="16" applyNumberFormat="1" applyFont="1" applyFill="1" applyAlignment="1">
      <alignment horizontal="center"/>
    </xf>
    <xf numFmtId="0" fontId="32" fillId="0" borderId="0" xfId="16" applyNumberFormat="1" applyFont="1" applyFill="1" applyBorder="1" applyAlignment="1">
      <alignment horizontal="center"/>
    </xf>
    <xf numFmtId="0" fontId="36" fillId="0" borderId="0" xfId="8" applyNumberFormat="1" applyFont="1" applyFill="1" applyAlignment="1">
      <alignment horizontal="center"/>
    </xf>
    <xf numFmtId="0" fontId="34" fillId="0" borderId="0" xfId="29" applyNumberFormat="1" applyFont="1" applyFill="1"/>
    <xf numFmtId="0" fontId="34" fillId="0" borderId="0" xfId="29" applyNumberFormat="1" applyFont="1" applyFill="1" applyAlignment="1">
      <alignment horizontal="right"/>
    </xf>
    <xf numFmtId="167" fontId="0" fillId="0" borderId="0" xfId="0" applyBorder="1"/>
    <xf numFmtId="167" fontId="3" fillId="0" borderId="0" xfId="0" applyFont="1" applyBorder="1" applyAlignment="1">
      <alignment horizontal="right"/>
    </xf>
    <xf numFmtId="167" fontId="0" fillId="0" borderId="0" xfId="0" applyBorder="1" applyAlignment="1">
      <alignment horizontal="right"/>
    </xf>
    <xf numFmtId="168" fontId="0" fillId="0" borderId="0" xfId="1" applyNumberFormat="1" applyFont="1" applyBorder="1"/>
    <xf numFmtId="168" fontId="2" fillId="0" borderId="0" xfId="1" applyNumberFormat="1" applyFont="1" applyBorder="1"/>
    <xf numFmtId="168" fontId="36" fillId="14" borderId="61" xfId="1" applyNumberFormat="1" applyFont="1" applyFill="1" applyBorder="1"/>
    <xf numFmtId="168" fontId="36" fillId="0" borderId="106" xfId="1" applyNumberFormat="1" applyFont="1" applyFill="1" applyBorder="1"/>
    <xf numFmtId="168" fontId="36" fillId="14" borderId="70" xfId="1" applyNumberFormat="1" applyFont="1" applyFill="1" applyBorder="1"/>
    <xf numFmtId="0" fontId="32" fillId="0" borderId="101" xfId="29" applyNumberFormat="1" applyFont="1" applyFill="1" applyBorder="1"/>
    <xf numFmtId="0" fontId="32" fillId="0" borderId="100" xfId="29" applyNumberFormat="1" applyFont="1" applyFill="1" applyBorder="1"/>
    <xf numFmtId="0" fontId="36" fillId="0" borderId="100" xfId="29" applyNumberFormat="1" applyFont="1" applyFill="1" applyBorder="1"/>
    <xf numFmtId="168" fontId="36" fillId="0" borderId="100" xfId="8" applyNumberFormat="1" applyFont="1" applyFill="1" applyBorder="1"/>
    <xf numFmtId="168" fontId="36" fillId="11" borderId="100" xfId="1" applyNumberFormat="1" applyFont="1" applyFill="1" applyBorder="1"/>
    <xf numFmtId="168" fontId="36" fillId="11" borderId="100" xfId="8" applyNumberFormat="1" applyFont="1" applyFill="1" applyBorder="1"/>
    <xf numFmtId="168" fontId="36" fillId="12" borderId="7" xfId="8" applyNumberFormat="1" applyFont="1" applyFill="1" applyBorder="1"/>
    <xf numFmtId="168" fontId="36" fillId="12" borderId="8" xfId="8" applyNumberFormat="1" applyFont="1" applyFill="1" applyBorder="1"/>
    <xf numFmtId="0" fontId="36" fillId="0" borderId="71" xfId="29" applyNumberFormat="1" applyFont="1" applyFill="1" applyBorder="1"/>
    <xf numFmtId="0" fontId="36" fillId="0" borderId="101" xfId="29" applyNumberFormat="1" applyFont="1" applyFill="1" applyBorder="1"/>
    <xf numFmtId="0" fontId="36" fillId="19" borderId="101" xfId="29" applyNumberFormat="1" applyFont="1" applyFill="1" applyBorder="1"/>
    <xf numFmtId="0" fontId="32" fillId="19" borderId="100" xfId="29" applyNumberFormat="1" applyFont="1" applyFill="1" applyBorder="1"/>
    <xf numFmtId="0" fontId="36" fillId="19" borderId="100" xfId="29" applyNumberFormat="1" applyFont="1" applyFill="1" applyBorder="1"/>
    <xf numFmtId="0" fontId="36" fillId="13" borderId="7" xfId="29" applyNumberFormat="1" applyFont="1" applyFill="1" applyBorder="1" applyAlignment="1">
      <alignment vertical="center"/>
    </xf>
    <xf numFmtId="0" fontId="32" fillId="13" borderId="0" xfId="29" applyNumberFormat="1" applyFont="1" applyFill="1" applyBorder="1" applyAlignment="1">
      <alignment vertical="center"/>
    </xf>
    <xf numFmtId="0" fontId="36" fillId="13" borderId="0" xfId="29" applyNumberFormat="1" applyFont="1" applyFill="1" applyBorder="1" applyAlignment="1">
      <alignment vertical="center"/>
    </xf>
    <xf numFmtId="172" fontId="32" fillId="13" borderId="0" xfId="16" applyNumberFormat="1" applyFont="1" applyFill="1" applyBorder="1" applyAlignment="1">
      <alignment vertical="center"/>
    </xf>
    <xf numFmtId="172" fontId="32" fillId="13" borderId="43" xfId="16" applyNumberFormat="1" applyFont="1" applyFill="1" applyBorder="1" applyAlignment="1">
      <alignment vertical="center"/>
    </xf>
    <xf numFmtId="172" fontId="32" fillId="13" borderId="8" xfId="16" applyNumberFormat="1" applyFont="1" applyFill="1" applyBorder="1" applyAlignment="1">
      <alignment vertical="center"/>
    </xf>
    <xf numFmtId="172" fontId="32" fillId="12" borderId="0" xfId="16" applyNumberFormat="1" applyFont="1" applyFill="1" applyBorder="1" applyAlignment="1">
      <alignment vertical="center"/>
    </xf>
    <xf numFmtId="0" fontId="32" fillId="0" borderId="102" xfId="29" applyNumberFormat="1" applyFont="1" applyFill="1" applyBorder="1" applyAlignment="1">
      <alignment vertical="center"/>
    </xf>
    <xf numFmtId="0" fontId="52" fillId="0" borderId="46" xfId="29" applyNumberFormat="1" applyFont="1" applyFill="1" applyBorder="1" applyAlignment="1">
      <alignment vertical="center"/>
    </xf>
    <xf numFmtId="0" fontId="52" fillId="0" borderId="47" xfId="29" applyNumberFormat="1" applyFont="1" applyFill="1" applyBorder="1" applyAlignment="1">
      <alignment vertical="center"/>
    </xf>
    <xf numFmtId="43" fontId="9" fillId="19" borderId="0" xfId="1" applyFont="1" applyFill="1"/>
    <xf numFmtId="43" fontId="36" fillId="0" borderId="0" xfId="1" applyFont="1" applyFill="1"/>
    <xf numFmtId="167" fontId="104" fillId="0" borderId="0" xfId="4" applyFont="1" applyAlignment="1">
      <alignment vertical="top" wrapText="1"/>
    </xf>
    <xf numFmtId="167" fontId="104" fillId="0" borderId="0" xfId="4" applyFont="1" applyAlignment="1">
      <alignment horizontal="left" wrapText="1"/>
    </xf>
    <xf numFmtId="167" fontId="105" fillId="0" borderId="0" xfId="4" applyNumberFormat="1" applyFont="1" applyAlignment="1">
      <alignment horizontal="left"/>
    </xf>
    <xf numFmtId="167" fontId="106" fillId="0" borderId="0" xfId="4" applyFont="1" applyAlignment="1">
      <alignment horizontal="center"/>
    </xf>
    <xf numFmtId="167" fontId="104" fillId="0" borderId="0" xfId="4" applyFont="1" applyAlignment="1">
      <alignment horizontal="justify" vertical="top" wrapText="1"/>
    </xf>
    <xf numFmtId="167" fontId="104" fillId="0" borderId="0" xfId="4" applyFont="1" applyAlignment="1">
      <alignment horizontal="center" vertical="top" wrapText="1"/>
    </xf>
    <xf numFmtId="170" fontId="104" fillId="0" borderId="0" xfId="4" applyNumberFormat="1" applyFont="1" applyAlignment="1">
      <alignment horizontal="right"/>
    </xf>
    <xf numFmtId="43" fontId="9" fillId="19" borderId="0" xfId="1" applyFont="1" applyFill="1" applyAlignment="1">
      <alignment horizontal="center"/>
    </xf>
    <xf numFmtId="167" fontId="2" fillId="0" borderId="0" xfId="0" applyFont="1" applyAlignment="1">
      <alignment horizontal="right" wrapText="1"/>
    </xf>
    <xf numFmtId="167" fontId="14" fillId="4" borderId="0" xfId="0" applyFont="1" applyFill="1" applyAlignment="1">
      <alignment horizontal="center"/>
    </xf>
    <xf numFmtId="170" fontId="2" fillId="0" borderId="1" xfId="1" applyNumberFormat="1" applyFont="1" applyBorder="1" applyAlignment="1">
      <alignment horizontal="right"/>
    </xf>
    <xf numFmtId="170" fontId="0" fillId="0" borderId="0" xfId="1" applyNumberFormat="1" applyFont="1" applyAlignment="1">
      <alignment horizontal="right"/>
    </xf>
    <xf numFmtId="167" fontId="2" fillId="0" borderId="0" xfId="30" applyFont="1" applyAlignment="1">
      <alignment horizontal="right" wrapText="1"/>
    </xf>
    <xf numFmtId="167" fontId="2" fillId="0" borderId="0" xfId="30" applyFont="1" applyAlignment="1">
      <alignment horizontal="center"/>
    </xf>
    <xf numFmtId="0" fontId="2" fillId="0" borderId="0" xfId="1" applyNumberFormat="1" applyFont="1" applyBorder="1" applyAlignment="1">
      <alignment horizontal="right" wrapText="1"/>
    </xf>
    <xf numFmtId="0" fontId="2" fillId="0" borderId="0" xfId="0" applyNumberFormat="1" applyFont="1" applyBorder="1" applyAlignment="1">
      <alignment horizontal="right" wrapText="1"/>
    </xf>
    <xf numFmtId="43" fontId="2" fillId="0" borderId="0" xfId="1" applyFont="1" applyAlignment="1">
      <alignment horizontal="right" wrapText="1"/>
    </xf>
    <xf numFmtId="43" fontId="17" fillId="0" borderId="0" xfId="1" applyFont="1" applyAlignment="1">
      <alignment horizontal="right" wrapText="1"/>
    </xf>
    <xf numFmtId="43" fontId="14" fillId="4" borderId="0" xfId="1" applyFont="1" applyFill="1" applyAlignment="1">
      <alignment horizontal="center"/>
    </xf>
    <xf numFmtId="43" fontId="23" fillId="0" borderId="0" xfId="1" applyFont="1" applyAlignment="1">
      <alignment horizontal="right" wrapText="1"/>
    </xf>
    <xf numFmtId="43" fontId="14" fillId="21" borderId="0" xfId="1" applyFont="1" applyFill="1" applyAlignment="1">
      <alignment horizontal="center"/>
    </xf>
    <xf numFmtId="0" fontId="28" fillId="0" borderId="0" xfId="0" applyNumberFormat="1" applyFont="1" applyBorder="1" applyAlignment="1">
      <alignment horizontal="right" wrapText="1"/>
    </xf>
    <xf numFmtId="49" fontId="2" fillId="0" borderId="0" xfId="0" applyNumberFormat="1" applyFont="1" applyBorder="1" applyAlignment="1">
      <alignment horizontal="right" wrapText="1"/>
    </xf>
  </cellXfs>
  <cellStyles count="49">
    <cellStyle name="Comma" xfId="1" builtinId="3"/>
    <cellStyle name="Comma 2" xfId="8"/>
    <cellStyle name="Comma 2 2" xfId="10"/>
    <cellStyle name="Comma 2 3" xfId="34"/>
    <cellStyle name="Comma 3" xfId="11"/>
    <cellStyle name="Comma 3 2" xfId="12"/>
    <cellStyle name="Comma 3 3" xfId="35"/>
    <cellStyle name="Comma 4" xfId="13"/>
    <cellStyle name="Comma 4 2" xfId="14"/>
    <cellStyle name="Comma 5" xfId="15"/>
    <cellStyle name="Comma 6" xfId="33"/>
    <cellStyle name="Currency" xfId="44" builtinId="4"/>
    <cellStyle name="Currency 2" xfId="16"/>
    <cellStyle name="Currency 2 2" xfId="17"/>
    <cellStyle name="Currency 2 3" xfId="36"/>
    <cellStyle name="Currency 3" xfId="18"/>
    <cellStyle name="Currency 3 2" xfId="19"/>
    <cellStyle name="Currency 3 2 2" xfId="43"/>
    <cellStyle name="Currency 4" xfId="32"/>
    <cellStyle name="Currency 4 2" xfId="37"/>
    <cellStyle name="Currency 5" xfId="38"/>
    <cellStyle name="Currency 6" xfId="39"/>
    <cellStyle name="Currency 7" xfId="40"/>
    <cellStyle name="Normal" xfId="0" builtinId="0"/>
    <cellStyle name="Normal 10" xfId="47"/>
    <cellStyle name="Normal 11" xfId="48"/>
    <cellStyle name="Normal 2" xfId="6"/>
    <cellStyle name="Normal 2 2" xfId="29"/>
    <cellStyle name="Normal 2 2 2" xfId="42"/>
    <cellStyle name="Normal 2 3" xfId="41"/>
    <cellStyle name="Normal 20" xfId="3"/>
    <cellStyle name="Normal 3" xfId="20"/>
    <cellStyle name="Normal 3 2" xfId="21"/>
    <cellStyle name="Normal 3 3" xfId="30"/>
    <cellStyle name="Normal 4" xfId="4"/>
    <cellStyle name="Normal 4 2" xfId="7"/>
    <cellStyle name="Normal 5" xfId="22"/>
    <cellStyle name="Normal 6" xfId="28"/>
    <cellStyle name="Normal 7" xfId="31"/>
    <cellStyle name="Normal 8" xfId="45"/>
    <cellStyle name="Normal 9" xfId="46"/>
    <cellStyle name="Percent" xfId="2" builtinId="5"/>
    <cellStyle name="Percent 2" xfId="5"/>
    <cellStyle name="Percent 2 2" xfId="23"/>
    <cellStyle name="Percent 3" xfId="24"/>
    <cellStyle name="Percent 3 2" xfId="25"/>
    <cellStyle name="Percent 4" xfId="9"/>
    <cellStyle name="Percent 4 2" xfId="26"/>
    <cellStyle name="Percent 5" xfId="27"/>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33FF"/>
      <color rgb="FF008000"/>
      <color rgb="FFCCFFCC"/>
      <color rgb="FFFFCCFF"/>
      <color rgb="FFFFFF99"/>
      <color rgb="FF99CCF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9525</xdr:rowOff>
        </xdr:from>
        <xdr:to>
          <xdr:col>11</xdr:col>
          <xdr:colOff>581025</xdr:colOff>
          <xdr:row>50</xdr:row>
          <xdr:rowOff>114300</xdr:rowOff>
        </xdr:to>
        <xdr:sp macro="" textlink="">
          <xdr:nvSpPr>
            <xdr:cNvPr id="25603" name="Object 3" hidden="1">
              <a:extLst>
                <a:ext uri="{63B3BB69-23CF-44E3-9099-C40C66FF867C}">
                  <a14:compatExt spid="_x0000_s2560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40</xdr:col>
          <xdr:colOff>552450</xdr:colOff>
          <xdr:row>43</xdr:row>
          <xdr:rowOff>95250</xdr:rowOff>
        </xdr:to>
        <xdr:sp macro="" textlink="">
          <xdr:nvSpPr>
            <xdr:cNvPr id="33793" name="Object 1" hidden="1">
              <a:extLst>
                <a:ext uri="{63B3BB69-23CF-44E3-9099-C40C66FF867C}">
                  <a14:compatExt spid="_x0000_s3379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package" Target="../embeddings/Microsoft_Excel_Worksheet1.xlsx"/></Relationships>
</file>

<file path=xl/worksheets/_rels/sheet8.xml.rels><?xml version="1.0" encoding="UTF-8" standalone="yes"?>
<Relationships xmlns="http://schemas.openxmlformats.org/package/2006/relationships"><Relationship Id="rId3" Type="http://schemas.openxmlformats.org/officeDocument/2006/relationships/hyperlink" Target="http://www.cde.ca.gov/fg/aa/ca/" TargetMode="External"/><Relationship Id="rId2" Type="http://schemas.openxmlformats.org/officeDocument/2006/relationships/hyperlink" Target="http://www.cde.ca.gov/fg/aa/ca/" TargetMode="External"/><Relationship Id="rId1" Type="http://schemas.openxmlformats.org/officeDocument/2006/relationships/hyperlink" Target="http://www.cde.ca.gov/fg/aa/ca/" TargetMode="External"/><Relationship Id="rId6" Type="http://schemas.openxmlformats.org/officeDocument/2006/relationships/printerSettings" Target="../printerSettings/printerSettings8.bin"/><Relationship Id="rId5" Type="http://schemas.openxmlformats.org/officeDocument/2006/relationships/hyperlink" Target="http://www.cde.ca.gov/fg/aa/ca/" TargetMode="External"/><Relationship Id="rId4" Type="http://schemas.openxmlformats.org/officeDocument/2006/relationships/hyperlink" Target="http://www.cde.ca.gov/fg/aa/ca/"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84"/>
  <sheetViews>
    <sheetView showGridLines="0" showRowColHeaders="0" zoomScaleNormal="100" workbookViewId="0">
      <selection activeCell="D24" sqref="D24:E24"/>
    </sheetView>
  </sheetViews>
  <sheetFormatPr defaultColWidth="0" defaultRowHeight="15.75" zeroHeight="1" x14ac:dyDescent="0.25"/>
  <cols>
    <col min="1" max="1" width="3.140625" style="738" customWidth="1"/>
    <col min="2" max="2" width="3.28515625" style="744" customWidth="1"/>
    <col min="3" max="3" width="12" style="744" customWidth="1"/>
    <col min="4" max="4" width="14.140625" style="741" customWidth="1"/>
    <col min="5" max="11" width="12.42578125" style="741" customWidth="1"/>
    <col min="12" max="12" width="10.7109375" style="741" customWidth="1"/>
    <col min="13" max="13" width="5.7109375" style="741" customWidth="1"/>
    <col min="14" max="14" width="3.140625" style="738" customWidth="1"/>
    <col min="15" max="16384" width="4.28515625" style="741" hidden="1"/>
  </cols>
  <sheetData>
    <row r="1" spans="1:14" x14ac:dyDescent="0.25">
      <c r="B1" s="739" t="s">
        <v>956</v>
      </c>
      <c r="C1" s="739"/>
      <c r="D1" s="740"/>
      <c r="E1" s="740"/>
    </row>
    <row r="2" spans="1:14" x14ac:dyDescent="0.25">
      <c r="B2" s="2138" t="s">
        <v>962</v>
      </c>
      <c r="C2" s="2138"/>
      <c r="D2" s="2138"/>
      <c r="E2" s="2138"/>
    </row>
    <row r="3" spans="1:14" x14ac:dyDescent="0.25">
      <c r="A3" s="742"/>
      <c r="B3" s="2139" t="s">
        <v>140</v>
      </c>
      <c r="C3" s="2139"/>
      <c r="D3" s="2139"/>
      <c r="E3" s="2139"/>
      <c r="F3" s="2139"/>
      <c r="G3" s="2139"/>
      <c r="H3" s="2139"/>
      <c r="I3" s="2139"/>
      <c r="J3" s="2139"/>
      <c r="K3" s="2139"/>
      <c r="L3" s="2139"/>
      <c r="M3" s="2139"/>
      <c r="N3" s="742"/>
    </row>
    <row r="4" spans="1:14" x14ac:dyDescent="0.25"/>
    <row r="5" spans="1:14" ht="172.5" customHeight="1" x14ac:dyDescent="0.25">
      <c r="A5" s="743"/>
      <c r="C5" s="2140" t="s">
        <v>937</v>
      </c>
      <c r="D5" s="2140"/>
      <c r="E5" s="2140"/>
      <c r="F5" s="2140"/>
      <c r="G5" s="2140"/>
      <c r="H5" s="2140"/>
      <c r="I5" s="2140"/>
      <c r="J5" s="2140"/>
      <c r="K5" s="2140"/>
      <c r="L5" s="2140"/>
      <c r="M5" s="2140"/>
      <c r="N5" s="743"/>
    </row>
    <row r="6" spans="1:14" s="746" customFormat="1" x14ac:dyDescent="0.25">
      <c r="A6" s="738"/>
      <c r="B6" s="745" t="s">
        <v>142</v>
      </c>
      <c r="C6" s="745"/>
      <c r="N6" s="738"/>
    </row>
    <row r="7" spans="1:14" s="738" customFormat="1" x14ac:dyDescent="0.25">
      <c r="B7" s="816"/>
      <c r="C7" s="816"/>
    </row>
    <row r="8" spans="1:14" s="747" customFormat="1" x14ac:dyDescent="0.25">
      <c r="C8" s="748" t="s">
        <v>957</v>
      </c>
      <c r="E8" s="749"/>
      <c r="F8" s="749"/>
      <c r="G8" s="749"/>
      <c r="H8" s="749"/>
    </row>
    <row r="9" spans="1:14" s="747" customFormat="1" x14ac:dyDescent="0.25">
      <c r="C9" s="748"/>
      <c r="E9" s="749"/>
      <c r="F9" s="749"/>
      <c r="G9" s="749"/>
      <c r="H9" s="749"/>
    </row>
    <row r="10" spans="1:14" ht="29.25" customHeight="1" x14ac:dyDescent="0.25">
      <c r="C10" s="2137" t="s">
        <v>952</v>
      </c>
      <c r="D10" s="2137"/>
      <c r="E10" s="2137"/>
      <c r="F10" s="2137"/>
      <c r="G10" s="2137"/>
      <c r="H10" s="2137"/>
      <c r="I10" s="2137"/>
      <c r="J10" s="2137"/>
      <c r="K10" s="2137"/>
      <c r="L10" s="2137"/>
      <c r="M10" s="2137"/>
    </row>
    <row r="11" spans="1:14" ht="9.75" customHeight="1" x14ac:dyDescent="0.25"/>
    <row r="12" spans="1:14" s="740" customFormat="1" x14ac:dyDescent="0.25">
      <c r="A12" s="750"/>
      <c r="B12" s="739"/>
      <c r="D12" s="739"/>
      <c r="E12" s="751" t="s">
        <v>55</v>
      </c>
      <c r="F12" s="751" t="str">
        <f t="shared" ref="F12:K12" si="0">LEFT(E12,4)+1&amp;"-"&amp;RIGHT(E12,4)+1</f>
        <v>2017-2018</v>
      </c>
      <c r="G12" s="751" t="str">
        <f t="shared" si="0"/>
        <v>2018-2019</v>
      </c>
      <c r="H12" s="751" t="str">
        <f t="shared" si="0"/>
        <v>2019-2020</v>
      </c>
      <c r="I12" s="752" t="str">
        <f t="shared" si="0"/>
        <v>2020-2021</v>
      </c>
      <c r="J12" s="752" t="str">
        <f t="shared" si="0"/>
        <v>2021-2022</v>
      </c>
      <c r="K12" s="752" t="str">
        <f t="shared" si="0"/>
        <v>2022-2023</v>
      </c>
      <c r="N12" s="750"/>
    </row>
    <row r="13" spans="1:14" x14ac:dyDescent="0.25">
      <c r="B13" s="741"/>
      <c r="D13" s="753" t="s">
        <v>143</v>
      </c>
      <c r="E13" s="754">
        <v>0</v>
      </c>
      <c r="F13" s="755">
        <v>1.5599999999999999E-2</v>
      </c>
      <c r="G13" s="755">
        <v>2.1499999999999998E-2</v>
      </c>
      <c r="H13" s="755">
        <v>2.35E-2</v>
      </c>
      <c r="I13" s="756">
        <v>2.6599999999999999E-2</v>
      </c>
      <c r="J13" s="756">
        <f>+I13</f>
        <v>2.6599999999999999E-2</v>
      </c>
      <c r="K13" s="756">
        <f>+J13</f>
        <v>2.6599999999999999E-2</v>
      </c>
    </row>
    <row r="14" spans="1:14" s="758" customFormat="1" x14ac:dyDescent="0.25">
      <c r="A14" s="757"/>
      <c r="D14" s="759" t="s">
        <v>144</v>
      </c>
      <c r="E14" s="760">
        <v>0.55030000000000001</v>
      </c>
      <c r="F14" s="761">
        <v>0.43969999999999998</v>
      </c>
      <c r="G14" s="761">
        <v>0.71530000000000005</v>
      </c>
      <c r="H14" s="761">
        <v>0.73509999999999998</v>
      </c>
      <c r="I14" s="762">
        <v>1</v>
      </c>
      <c r="J14" s="762">
        <f>+I14</f>
        <v>1</v>
      </c>
      <c r="K14" s="762">
        <f>+J14</f>
        <v>1</v>
      </c>
      <c r="N14" s="757"/>
    </row>
    <row r="15" spans="1:14" x14ac:dyDescent="0.25">
      <c r="D15" s="753" t="s">
        <v>145</v>
      </c>
      <c r="E15" s="754">
        <v>0.5494</v>
      </c>
      <c r="F15" s="754">
        <v>0.54920000000000002</v>
      </c>
      <c r="G15" s="754">
        <v>0.54579999999999995</v>
      </c>
      <c r="H15" s="754">
        <v>0.54700000000000004</v>
      </c>
      <c r="I15" s="756">
        <v>0.54790000000000005</v>
      </c>
      <c r="J15" s="756">
        <v>0.54910000000000003</v>
      </c>
      <c r="K15" s="756">
        <v>0.55020000000000002</v>
      </c>
    </row>
    <row r="16" spans="1:14" x14ac:dyDescent="0.25">
      <c r="B16" s="763"/>
      <c r="D16" s="120" t="s">
        <v>146</v>
      </c>
      <c r="E16" s="765"/>
      <c r="F16" s="765"/>
      <c r="G16" s="765"/>
      <c r="H16" s="765"/>
    </row>
    <row r="17" spans="1:14" x14ac:dyDescent="0.25">
      <c r="B17" s="766"/>
      <c r="C17" s="766"/>
      <c r="E17" s="765"/>
      <c r="F17" s="765"/>
      <c r="G17" s="765"/>
      <c r="H17" s="765"/>
    </row>
    <row r="18" spans="1:14" ht="14.25" customHeight="1" x14ac:dyDescent="0.25">
      <c r="B18" s="739"/>
      <c r="C18" s="739"/>
      <c r="E18" s="765"/>
      <c r="F18" s="765"/>
      <c r="G18" s="767"/>
      <c r="H18" s="767"/>
      <c r="I18" s="767"/>
    </row>
    <row r="19" spans="1:14" s="746" customFormat="1" ht="14.25" customHeight="1" x14ac:dyDescent="0.25">
      <c r="A19" s="738"/>
      <c r="B19" s="745" t="s">
        <v>147</v>
      </c>
      <c r="C19" s="745"/>
      <c r="E19" s="768"/>
      <c r="F19" s="768"/>
      <c r="G19" s="769"/>
      <c r="H19" s="769"/>
      <c r="I19" s="769"/>
      <c r="N19" s="738"/>
    </row>
    <row r="20" spans="1:14" s="738" customFormat="1" ht="14.25" customHeight="1" x14ac:dyDescent="0.25">
      <c r="B20" s="816"/>
      <c r="C20" s="816"/>
      <c r="E20" s="818"/>
      <c r="F20" s="818"/>
      <c r="G20" s="767"/>
      <c r="H20" s="767"/>
      <c r="I20" s="767"/>
    </row>
    <row r="21" spans="1:14" x14ac:dyDescent="0.25">
      <c r="A21" s="770"/>
      <c r="B21" s="741"/>
      <c r="C21" s="741"/>
      <c r="D21" s="751" t="s">
        <v>148</v>
      </c>
      <c r="E21" s="751" t="str">
        <f t="shared" ref="E21:M21" si="1">LEFT(D21,4)+1&amp;"-"&amp;RIGHT(D21,4)+1</f>
        <v>2014-2015</v>
      </c>
      <c r="F21" s="751" t="str">
        <f t="shared" si="1"/>
        <v>2015-2016</v>
      </c>
      <c r="G21" s="751" t="str">
        <f t="shared" si="1"/>
        <v>2016-2017</v>
      </c>
      <c r="H21" s="751" t="str">
        <f t="shared" si="1"/>
        <v>2017-2018</v>
      </c>
      <c r="I21" s="751" t="str">
        <f t="shared" si="1"/>
        <v>2018-2019</v>
      </c>
      <c r="J21" s="751" t="str">
        <f t="shared" si="1"/>
        <v>2019-2020</v>
      </c>
      <c r="K21" s="752" t="str">
        <f t="shared" si="1"/>
        <v>2020-2021</v>
      </c>
      <c r="L21" s="752" t="str">
        <f t="shared" si="1"/>
        <v>2021-2022</v>
      </c>
      <c r="M21" s="752" t="str">
        <f t="shared" si="1"/>
        <v>2022-2023</v>
      </c>
      <c r="N21" s="770"/>
    </row>
    <row r="22" spans="1:14" ht="14.25" customHeight="1" x14ac:dyDescent="0.25">
      <c r="A22" s="771"/>
      <c r="C22" s="753" t="s">
        <v>149</v>
      </c>
      <c r="D22" s="772">
        <v>8178</v>
      </c>
      <c r="E22" s="772">
        <v>8283</v>
      </c>
      <c r="F22" s="772">
        <v>8190</v>
      </c>
      <c r="G22" s="772">
        <v>8102</v>
      </c>
      <c r="H22" s="772">
        <v>8014</v>
      </c>
      <c r="I22" s="772">
        <v>8000</v>
      </c>
      <c r="J22" s="772">
        <v>7965</v>
      </c>
      <c r="K22" s="773">
        <v>7990</v>
      </c>
      <c r="L22" s="773">
        <v>8077</v>
      </c>
      <c r="M22" s="773">
        <v>8185</v>
      </c>
      <c r="N22" s="771"/>
    </row>
    <row r="23" spans="1:14" s="779" customFormat="1" ht="28.5" customHeight="1" x14ac:dyDescent="0.25">
      <c r="A23" s="774"/>
      <c r="B23" s="775"/>
      <c r="C23" s="776" t="s">
        <v>150</v>
      </c>
      <c r="D23" s="777">
        <v>-14</v>
      </c>
      <c r="E23" s="777">
        <f t="shared" ref="E23:M23" si="2">+E22-D22</f>
        <v>105</v>
      </c>
      <c r="F23" s="777">
        <f t="shared" si="2"/>
        <v>-93</v>
      </c>
      <c r="G23" s="777">
        <f t="shared" si="2"/>
        <v>-88</v>
      </c>
      <c r="H23" s="777">
        <f t="shared" si="2"/>
        <v>-88</v>
      </c>
      <c r="I23" s="777">
        <f t="shared" si="2"/>
        <v>-14</v>
      </c>
      <c r="J23" s="777">
        <f t="shared" si="2"/>
        <v>-35</v>
      </c>
      <c r="K23" s="778">
        <f t="shared" si="2"/>
        <v>25</v>
      </c>
      <c r="L23" s="778">
        <f t="shared" si="2"/>
        <v>87</v>
      </c>
      <c r="M23" s="778">
        <f t="shared" si="2"/>
        <v>108</v>
      </c>
      <c r="N23" s="774"/>
    </row>
    <row r="24" spans="1:14" ht="31.5" customHeight="1" x14ac:dyDescent="0.25">
      <c r="A24" s="771"/>
      <c r="C24" s="753" t="s">
        <v>151</v>
      </c>
      <c r="D24" s="772">
        <v>7854.67</v>
      </c>
      <c r="E24" s="772">
        <v>7958.33</v>
      </c>
      <c r="F24" s="772">
        <v>7865.44</v>
      </c>
      <c r="G24" s="772">
        <v>7760.61</v>
      </c>
      <c r="H24" s="772">
        <v>7690.87</v>
      </c>
      <c r="I24" s="772">
        <v>7677.44</v>
      </c>
      <c r="J24" s="772">
        <v>7643.85</v>
      </c>
      <c r="K24" s="773">
        <v>7674.72</v>
      </c>
      <c r="L24" s="773">
        <v>7758.04</v>
      </c>
      <c r="M24" s="773">
        <v>7862.53</v>
      </c>
      <c r="N24" s="771"/>
    </row>
    <row r="25" spans="1:14" s="779" customFormat="1" ht="28.5" customHeight="1" x14ac:dyDescent="0.25">
      <c r="A25" s="774"/>
      <c r="B25" s="775"/>
      <c r="C25" s="776" t="s">
        <v>150</v>
      </c>
      <c r="D25" s="777">
        <v>-22.54</v>
      </c>
      <c r="E25" s="777">
        <f t="shared" ref="E25:M25" si="3">+E24-D24</f>
        <v>103.65999999999985</v>
      </c>
      <c r="F25" s="777">
        <f t="shared" si="3"/>
        <v>-92.890000000000327</v>
      </c>
      <c r="G25" s="777">
        <f t="shared" si="3"/>
        <v>-104.82999999999993</v>
      </c>
      <c r="H25" s="777">
        <f t="shared" si="3"/>
        <v>-69.739999999999782</v>
      </c>
      <c r="I25" s="777">
        <f t="shared" si="3"/>
        <v>-13.430000000000291</v>
      </c>
      <c r="J25" s="777">
        <f t="shared" si="3"/>
        <v>-33.589999999999236</v>
      </c>
      <c r="K25" s="778">
        <f t="shared" si="3"/>
        <v>30.869999999999891</v>
      </c>
      <c r="L25" s="778">
        <f t="shared" si="3"/>
        <v>83.319999999999709</v>
      </c>
      <c r="M25" s="778">
        <f t="shared" si="3"/>
        <v>104.48999999999978</v>
      </c>
      <c r="N25" s="774"/>
    </row>
    <row r="26" spans="1:14" ht="7.5" customHeight="1" x14ac:dyDescent="0.25">
      <c r="C26" s="753"/>
      <c r="E26" s="765"/>
      <c r="F26" s="765"/>
      <c r="G26" s="765"/>
      <c r="H26" s="765"/>
    </row>
    <row r="27" spans="1:14" ht="15.75" customHeight="1" x14ac:dyDescent="0.25">
      <c r="B27" s="2141" t="s">
        <v>152</v>
      </c>
      <c r="C27" s="2141"/>
      <c r="D27" s="2141"/>
      <c r="E27" s="1517">
        <v>0.95967917469219388</v>
      </c>
      <c r="F27" s="765"/>
      <c r="G27" s="765"/>
      <c r="H27" s="765"/>
    </row>
    <row r="28" spans="1:14" x14ac:dyDescent="0.25">
      <c r="B28" s="2141"/>
      <c r="C28" s="2141"/>
      <c r="D28" s="2141"/>
      <c r="E28" s="765"/>
      <c r="F28" s="765"/>
      <c r="G28" s="765"/>
      <c r="H28" s="765"/>
    </row>
    <row r="29" spans="1:14" s="746" customFormat="1" x14ac:dyDescent="0.25">
      <c r="A29" s="738"/>
      <c r="B29" s="745" t="s">
        <v>153</v>
      </c>
      <c r="C29" s="780"/>
      <c r="E29" s="768"/>
      <c r="F29" s="768"/>
      <c r="G29" s="768"/>
      <c r="H29" s="768"/>
      <c r="N29" s="738"/>
    </row>
    <row r="30" spans="1:14" s="738" customFormat="1" x14ac:dyDescent="0.25">
      <c r="B30" s="816"/>
      <c r="C30" s="817"/>
      <c r="E30" s="818"/>
      <c r="F30" s="818"/>
      <c r="G30" s="818"/>
      <c r="H30" s="818"/>
    </row>
    <row r="31" spans="1:14" ht="15" customHeight="1" x14ac:dyDescent="0.25">
      <c r="B31" s="741"/>
      <c r="C31" s="779" t="s">
        <v>154</v>
      </c>
      <c r="D31" s="779"/>
      <c r="E31" s="779"/>
      <c r="F31" s="779"/>
      <c r="G31" s="779"/>
      <c r="H31" s="779"/>
      <c r="I31" s="779"/>
      <c r="J31" s="779"/>
    </row>
    <row r="32" spans="1:14" ht="22.5" customHeight="1" x14ac:dyDescent="0.25">
      <c r="B32" s="775"/>
      <c r="C32" s="775"/>
      <c r="D32" s="751" t="str">
        <f>+G21</f>
        <v>2016-2017</v>
      </c>
      <c r="E32" s="751" t="str">
        <f>+H21</f>
        <v>2017-2018</v>
      </c>
      <c r="G32" s="775"/>
      <c r="H32" s="775"/>
      <c r="I32" s="775"/>
      <c r="J32" s="775"/>
    </row>
    <row r="33" spans="1:14" x14ac:dyDescent="0.25">
      <c r="B33" s="775"/>
      <c r="C33" s="764" t="s">
        <v>155</v>
      </c>
      <c r="D33" s="781">
        <f>+'RS 3010'!D11+'RS 4035'!D10+'RS 4201'!D10+'RS 4203'!D10</f>
        <v>1102146.6500000001</v>
      </c>
      <c r="E33" s="781">
        <f>+'RS 3010'!H11+'RS 4035'!H10+'RS 4201'!H10+'RS 4203'!H10</f>
        <v>599346</v>
      </c>
      <c r="F33" s="782" t="s">
        <v>393</v>
      </c>
      <c r="G33" s="775"/>
      <c r="H33" s="775"/>
      <c r="I33" s="775"/>
      <c r="J33" s="775"/>
    </row>
    <row r="34" spans="1:14" s="763" customFormat="1" ht="24.75" customHeight="1" x14ac:dyDescent="0.25">
      <c r="A34" s="747"/>
      <c r="B34" s="744"/>
      <c r="C34" s="753" t="s">
        <v>156</v>
      </c>
      <c r="D34" s="783">
        <v>1687542</v>
      </c>
      <c r="E34" s="783">
        <v>0</v>
      </c>
      <c r="F34" s="747" t="s">
        <v>939</v>
      </c>
      <c r="G34" s="744"/>
      <c r="H34" s="744"/>
      <c r="I34" s="744"/>
      <c r="J34" s="744"/>
      <c r="N34" s="747"/>
    </row>
    <row r="35" spans="1:14" x14ac:dyDescent="0.25">
      <c r="B35" s="775"/>
      <c r="C35" s="764"/>
      <c r="D35" s="781">
        <f>+'RS 6230'!D9</f>
        <v>466785</v>
      </c>
      <c r="E35" s="781">
        <f>+'RS 6230'!H9</f>
        <v>379448</v>
      </c>
      <c r="F35" s="782" t="s">
        <v>394</v>
      </c>
      <c r="G35" s="775"/>
      <c r="H35" s="775"/>
      <c r="I35" s="775"/>
      <c r="J35" s="775"/>
    </row>
    <row r="36" spans="1:14" s="763" customFormat="1" ht="24.75" customHeight="1" x14ac:dyDescent="0.25">
      <c r="A36" s="747"/>
      <c r="B36" s="744"/>
      <c r="C36" s="753" t="s">
        <v>157</v>
      </c>
      <c r="D36" s="784">
        <v>807000</v>
      </c>
      <c r="E36" s="784">
        <v>0</v>
      </c>
      <c r="F36" s="748" t="s">
        <v>938</v>
      </c>
      <c r="G36" s="744"/>
      <c r="H36" s="744"/>
      <c r="I36" s="744"/>
      <c r="J36" s="744"/>
      <c r="N36" s="747"/>
    </row>
    <row r="37" spans="1:14" s="763" customFormat="1" x14ac:dyDescent="0.25">
      <c r="A37" s="747"/>
      <c r="B37" s="744"/>
      <c r="C37" s="753"/>
      <c r="D37" s="785">
        <v>69320</v>
      </c>
      <c r="E37" s="784">
        <v>0</v>
      </c>
      <c r="F37" s="748" t="s">
        <v>954</v>
      </c>
      <c r="G37" s="744"/>
      <c r="H37" s="744"/>
      <c r="I37" s="744"/>
      <c r="J37" s="744"/>
      <c r="N37" s="747"/>
    </row>
    <row r="38" spans="1:14" x14ac:dyDescent="0.25">
      <c r="B38" s="775"/>
      <c r="C38" s="775"/>
      <c r="D38" s="786">
        <f>SUM(D33:D37)</f>
        <v>4132793.6500000004</v>
      </c>
      <c r="E38" s="786">
        <f>SUM(E33:E37)</f>
        <v>978794</v>
      </c>
      <c r="F38" s="775"/>
      <c r="G38" s="775"/>
      <c r="H38" s="775"/>
      <c r="I38" s="775"/>
      <c r="J38" s="775"/>
    </row>
    <row r="39" spans="1:14" ht="7.5" customHeight="1" x14ac:dyDescent="0.25">
      <c r="B39" s="775"/>
      <c r="C39" s="775"/>
      <c r="D39" s="787"/>
      <c r="E39" s="787"/>
      <c r="F39" s="775"/>
      <c r="G39" s="775"/>
      <c r="H39" s="775"/>
      <c r="I39" s="775"/>
      <c r="J39" s="775"/>
    </row>
    <row r="40" spans="1:14" x14ac:dyDescent="0.25">
      <c r="B40" s="775"/>
      <c r="C40" s="775"/>
      <c r="D40" s="2142">
        <f>+E38-D38</f>
        <v>-3153999.6500000004</v>
      </c>
      <c r="E40" s="2142"/>
      <c r="F40" s="775" t="s">
        <v>953</v>
      </c>
      <c r="G40" s="775"/>
      <c r="H40" s="775"/>
      <c r="I40" s="775"/>
      <c r="J40" s="775"/>
    </row>
    <row r="41" spans="1:14" ht="8.25" customHeight="1" x14ac:dyDescent="0.25">
      <c r="B41" s="775"/>
      <c r="C41" s="775"/>
      <c r="D41" s="787"/>
      <c r="E41" s="787"/>
      <c r="F41" s="775"/>
      <c r="G41" s="775"/>
      <c r="H41" s="775"/>
      <c r="I41" s="775"/>
      <c r="J41" s="775"/>
    </row>
    <row r="42" spans="1:14" ht="15" customHeight="1" x14ac:dyDescent="0.25">
      <c r="A42" s="788"/>
      <c r="B42" s="741"/>
      <c r="C42" s="2137" t="s">
        <v>724</v>
      </c>
      <c r="D42" s="2137"/>
      <c r="E42" s="2137"/>
      <c r="F42" s="2137"/>
      <c r="G42" s="2137"/>
      <c r="H42" s="2137"/>
      <c r="I42" s="2137"/>
      <c r="J42" s="2137"/>
      <c r="K42" s="2137"/>
      <c r="L42" s="2137"/>
      <c r="M42" s="2137"/>
      <c r="N42" s="788"/>
    </row>
    <row r="43" spans="1:14" ht="22.5" customHeight="1" x14ac:dyDescent="0.25">
      <c r="D43" s="751" t="str">
        <f t="shared" ref="D43:J43" si="4">+G21</f>
        <v>2016-2017</v>
      </c>
      <c r="E43" s="751" t="str">
        <f t="shared" si="4"/>
        <v>2017-2018</v>
      </c>
      <c r="F43" s="751" t="str">
        <f t="shared" si="4"/>
        <v>2018-2019</v>
      </c>
      <c r="G43" s="751" t="str">
        <f t="shared" si="4"/>
        <v>2019-2020</v>
      </c>
      <c r="H43" s="751" t="str">
        <f t="shared" si="4"/>
        <v>2020-2021</v>
      </c>
      <c r="I43" s="752" t="str">
        <f t="shared" si="4"/>
        <v>2021-2022</v>
      </c>
      <c r="J43" s="752" t="str">
        <f t="shared" si="4"/>
        <v>2022-2023</v>
      </c>
    </row>
    <row r="44" spans="1:14" x14ac:dyDescent="0.25">
      <c r="C44" s="753" t="s">
        <v>143</v>
      </c>
      <c r="D44" s="789">
        <v>0</v>
      </c>
      <c r="E44" s="755">
        <f>+F13</f>
        <v>1.5599999999999999E-2</v>
      </c>
      <c r="F44" s="755">
        <f>+G13</f>
        <v>2.1499999999999998E-2</v>
      </c>
      <c r="G44" s="755">
        <f>+H13</f>
        <v>2.35E-2</v>
      </c>
      <c r="H44" s="755">
        <v>2.5700000000000001E-2</v>
      </c>
      <c r="I44" s="756">
        <f>+J13</f>
        <v>2.6599999999999999E-2</v>
      </c>
      <c r="J44" s="756">
        <f>+K13</f>
        <v>2.6599999999999999E-2</v>
      </c>
    </row>
    <row r="45" spans="1:14" x14ac:dyDescent="0.25">
      <c r="I45" s="790"/>
      <c r="J45" s="790"/>
    </row>
    <row r="46" spans="1:14" s="746" customFormat="1" x14ac:dyDescent="0.25">
      <c r="A46" s="738"/>
      <c r="B46" s="745" t="s">
        <v>158</v>
      </c>
      <c r="C46" s="745"/>
      <c r="N46" s="738"/>
    </row>
    <row r="47" spans="1:14" s="738" customFormat="1" hidden="1" x14ac:dyDescent="0.25">
      <c r="B47" s="816"/>
      <c r="C47" s="816"/>
    </row>
    <row r="48" spans="1:14" hidden="1" x14ac:dyDescent="0.25">
      <c r="B48" s="741"/>
      <c r="C48" s="744" t="s">
        <v>165</v>
      </c>
    </row>
    <row r="49" spans="1:14" hidden="1" x14ac:dyDescent="0.25">
      <c r="B49" s="741"/>
    </row>
    <row r="50" spans="1:14" hidden="1" x14ac:dyDescent="0.25">
      <c r="B50" s="741"/>
      <c r="C50" s="744" t="s">
        <v>159</v>
      </c>
    </row>
    <row r="51" spans="1:14" ht="21.75" customHeight="1" x14ac:dyDescent="0.25">
      <c r="C51" s="741"/>
      <c r="D51" s="751" t="str">
        <f t="shared" ref="D51:J51" si="5">+D43</f>
        <v>2016-2017</v>
      </c>
      <c r="E51" s="751" t="str">
        <f t="shared" si="5"/>
        <v>2017-2018</v>
      </c>
      <c r="F51" s="751" t="str">
        <f t="shared" si="5"/>
        <v>2018-2019</v>
      </c>
      <c r="G51" s="751" t="str">
        <f t="shared" si="5"/>
        <v>2019-2020</v>
      </c>
      <c r="H51" s="751" t="str">
        <f t="shared" si="5"/>
        <v>2020-2021</v>
      </c>
      <c r="I51" s="751" t="str">
        <f t="shared" si="5"/>
        <v>2021-2022</v>
      </c>
      <c r="J51" s="751" t="str">
        <f t="shared" si="5"/>
        <v>2022-2023</v>
      </c>
      <c r="K51" s="751" t="s">
        <v>422</v>
      </c>
    </row>
    <row r="52" spans="1:14" x14ac:dyDescent="0.25">
      <c r="A52" s="791"/>
      <c r="C52" s="792" t="s">
        <v>76</v>
      </c>
      <c r="D52" s="793">
        <v>0.1258</v>
      </c>
      <c r="E52" s="794">
        <v>0.14430000000000001</v>
      </c>
      <c r="F52" s="793">
        <v>0.1628</v>
      </c>
      <c r="G52" s="793">
        <v>0.18129999999999999</v>
      </c>
      <c r="H52" s="793">
        <v>0.191</v>
      </c>
      <c r="I52" s="793">
        <f>+H52</f>
        <v>0.191</v>
      </c>
      <c r="J52" s="793">
        <f>+I52</f>
        <v>0.191</v>
      </c>
      <c r="K52" s="793">
        <f>+J52</f>
        <v>0.191</v>
      </c>
      <c r="L52" s="795"/>
      <c r="M52" s="796"/>
      <c r="N52" s="791"/>
    </row>
    <row r="53" spans="1:14" x14ac:dyDescent="0.25">
      <c r="A53" s="791"/>
      <c r="C53" s="792" t="s">
        <v>77</v>
      </c>
      <c r="D53" s="797">
        <v>0.13888</v>
      </c>
      <c r="E53" s="1234">
        <v>0.15531</v>
      </c>
      <c r="F53" s="798">
        <v>0.18099999999999999</v>
      </c>
      <c r="G53" s="798">
        <v>0.20799999999999999</v>
      </c>
      <c r="H53" s="798">
        <v>0.23799999999999999</v>
      </c>
      <c r="I53" s="798">
        <v>0.252</v>
      </c>
      <c r="J53" s="798">
        <v>0.26100000000000001</v>
      </c>
      <c r="K53" s="798">
        <v>0.26800000000000002</v>
      </c>
      <c r="L53" s="795"/>
      <c r="M53" s="796"/>
      <c r="N53" s="791"/>
    </row>
    <row r="54" spans="1:14" x14ac:dyDescent="0.25">
      <c r="C54" s="753" t="s">
        <v>78</v>
      </c>
      <c r="D54" s="799">
        <v>6.2E-2</v>
      </c>
      <c r="E54" s="799">
        <v>6.2E-2</v>
      </c>
      <c r="F54" s="799">
        <v>6.2E-2</v>
      </c>
      <c r="G54" s="799">
        <v>6.2E-2</v>
      </c>
      <c r="H54" s="799">
        <v>6.2E-2</v>
      </c>
      <c r="I54" s="799">
        <v>6.2E-2</v>
      </c>
      <c r="J54" s="799">
        <v>6.2E-2</v>
      </c>
      <c r="K54" s="799">
        <v>6.2E-2</v>
      </c>
      <c r="L54" s="800"/>
    </row>
    <row r="55" spans="1:14" x14ac:dyDescent="0.25">
      <c r="C55" s="753" t="s">
        <v>79</v>
      </c>
      <c r="D55" s="801">
        <v>1.4500000000000001E-2</v>
      </c>
      <c r="E55" s="801">
        <v>1.4500000000000001E-2</v>
      </c>
      <c r="F55" s="801">
        <v>1.4500000000000001E-2</v>
      </c>
      <c r="G55" s="801">
        <v>1.4500000000000001E-2</v>
      </c>
      <c r="H55" s="801">
        <v>1.4500000000000001E-2</v>
      </c>
      <c r="I55" s="801">
        <v>1.4500000000000001E-2</v>
      </c>
      <c r="J55" s="801">
        <v>1.4500000000000001E-2</v>
      </c>
      <c r="K55" s="801">
        <v>1.4500000000000001E-2</v>
      </c>
      <c r="L55" s="800"/>
    </row>
    <row r="56" spans="1:14" x14ac:dyDescent="0.25">
      <c r="C56" s="753" t="s">
        <v>81</v>
      </c>
      <c r="D56" s="801">
        <v>5.0000000000000001E-4</v>
      </c>
      <c r="E56" s="801">
        <v>5.0000000000000001E-4</v>
      </c>
      <c r="F56" s="801">
        <v>5.0000000000000001E-4</v>
      </c>
      <c r="G56" s="801">
        <v>5.0000000000000001E-4</v>
      </c>
      <c r="H56" s="801">
        <v>5.0000000000000001E-4</v>
      </c>
      <c r="I56" s="801">
        <v>5.0000000000000001E-4</v>
      </c>
      <c r="J56" s="801">
        <v>5.0000000000000001E-4</v>
      </c>
      <c r="K56" s="801">
        <v>5.0000000000000001E-4</v>
      </c>
      <c r="L56" s="800"/>
    </row>
    <row r="57" spans="1:14" x14ac:dyDescent="0.25">
      <c r="C57" s="753" t="s">
        <v>82</v>
      </c>
      <c r="D57" s="799">
        <v>1.0999999999999999E-2</v>
      </c>
      <c r="E57" s="799">
        <v>1.0999999999999999E-2</v>
      </c>
      <c r="F57" s="799">
        <v>1.0999999999999999E-2</v>
      </c>
      <c r="G57" s="799">
        <v>1.0999999999999999E-2</v>
      </c>
      <c r="H57" s="799">
        <v>1.0999999999999999E-2</v>
      </c>
      <c r="I57" s="799">
        <v>1.0999999999999999E-2</v>
      </c>
      <c r="J57" s="799">
        <v>1.0999999999999999E-2</v>
      </c>
      <c r="K57" s="799">
        <v>1.0999999999999999E-2</v>
      </c>
      <c r="L57" s="800"/>
    </row>
    <row r="58" spans="1:14" x14ac:dyDescent="0.25"/>
    <row r="59" spans="1:14" x14ac:dyDescent="0.25">
      <c r="C59" s="802" t="s">
        <v>46</v>
      </c>
      <c r="D59" s="803">
        <f>SUM(D52,D55:D57)</f>
        <v>0.15180000000000002</v>
      </c>
      <c r="E59" s="803">
        <f t="shared" ref="E59:K59" si="6">SUM(E52,E55:E57)</f>
        <v>0.17030000000000003</v>
      </c>
      <c r="F59" s="803">
        <f t="shared" si="6"/>
        <v>0.18880000000000002</v>
      </c>
      <c r="G59" s="803">
        <f t="shared" si="6"/>
        <v>0.20730000000000001</v>
      </c>
      <c r="H59" s="803">
        <f t="shared" si="6"/>
        <v>0.21700000000000003</v>
      </c>
      <c r="I59" s="803">
        <f t="shared" si="6"/>
        <v>0.21700000000000003</v>
      </c>
      <c r="J59" s="803">
        <f t="shared" si="6"/>
        <v>0.21700000000000003</v>
      </c>
      <c r="K59" s="803">
        <f t="shared" si="6"/>
        <v>0.21700000000000003</v>
      </c>
    </row>
    <row r="60" spans="1:14" x14ac:dyDescent="0.25">
      <c r="C60" s="802" t="s">
        <v>210</v>
      </c>
      <c r="D60" s="1235">
        <f t="shared" ref="D60:K60" si="7">+SUM(D53:D57)</f>
        <v>0.22688000000000003</v>
      </c>
      <c r="E60" s="1235">
        <f t="shared" si="7"/>
        <v>0.24331000000000003</v>
      </c>
      <c r="F60" s="803">
        <f t="shared" si="7"/>
        <v>0.26900000000000002</v>
      </c>
      <c r="G60" s="1236">
        <f t="shared" si="7"/>
        <v>0.29600000000000004</v>
      </c>
      <c r="H60" s="1236">
        <f t="shared" si="7"/>
        <v>0.32600000000000001</v>
      </c>
      <c r="I60" s="1236">
        <f t="shared" si="7"/>
        <v>0.34</v>
      </c>
      <c r="J60" s="1236">
        <f t="shared" si="7"/>
        <v>0.34900000000000003</v>
      </c>
      <c r="K60" s="1236">
        <f t="shared" si="7"/>
        <v>0.35600000000000004</v>
      </c>
    </row>
    <row r="61" spans="1:14" x14ac:dyDescent="0.25"/>
    <row r="62" spans="1:14" x14ac:dyDescent="0.25">
      <c r="C62" s="741"/>
      <c r="L62" s="753" t="s">
        <v>211</v>
      </c>
      <c r="M62" s="804">
        <v>7.0000000000000007E-2</v>
      </c>
    </row>
    <row r="63" spans="1:14" x14ac:dyDescent="0.25"/>
    <row r="64" spans="1:14" s="746" customFormat="1" x14ac:dyDescent="0.25">
      <c r="A64" s="738"/>
      <c r="B64" s="745" t="s">
        <v>160</v>
      </c>
      <c r="C64" s="745"/>
      <c r="N64" s="738"/>
    </row>
    <row r="65" spans="1:14" s="738" customFormat="1" x14ac:dyDescent="0.25">
      <c r="B65" s="816"/>
      <c r="C65" s="816"/>
    </row>
    <row r="66" spans="1:14" ht="32.25" hidden="1" customHeight="1" x14ac:dyDescent="0.25">
      <c r="B66" s="741"/>
      <c r="C66" s="2136" t="s">
        <v>955</v>
      </c>
      <c r="D66" s="2136"/>
      <c r="E66" s="2136"/>
      <c r="F66" s="2136"/>
      <c r="G66" s="2136"/>
      <c r="H66" s="2136"/>
      <c r="I66" s="2136"/>
      <c r="J66" s="2136"/>
      <c r="K66" s="2136"/>
      <c r="L66" s="2136"/>
      <c r="M66" s="2136"/>
    </row>
    <row r="67" spans="1:14" ht="21.75" hidden="1" customHeight="1" x14ac:dyDescent="0.25">
      <c r="B67" s="741"/>
      <c r="C67" s="739"/>
      <c r="D67" s="751" t="str">
        <f>+D51</f>
        <v>2016-2017</v>
      </c>
      <c r="E67" s="751" t="str">
        <f t="shared" ref="E67:J67" si="8">+E51</f>
        <v>2017-2018</v>
      </c>
      <c r="F67" s="751" t="str">
        <f t="shared" si="8"/>
        <v>2018-2019</v>
      </c>
      <c r="G67" s="751" t="str">
        <f t="shared" si="8"/>
        <v>2019-2020</v>
      </c>
      <c r="H67" s="805" t="str">
        <f t="shared" si="8"/>
        <v>2020-2021</v>
      </c>
      <c r="I67" s="805" t="str">
        <f t="shared" si="8"/>
        <v>2021-2022</v>
      </c>
      <c r="J67" s="805" t="str">
        <f t="shared" si="8"/>
        <v>2022-2023</v>
      </c>
    </row>
    <row r="68" spans="1:14" s="779" customFormat="1" hidden="1" x14ac:dyDescent="0.25">
      <c r="A68" s="806"/>
      <c r="C68" s="807"/>
      <c r="D68" s="808">
        <v>2631028.77</v>
      </c>
      <c r="E68" s="809">
        <v>3350000</v>
      </c>
      <c r="F68" s="809">
        <v>1850000</v>
      </c>
      <c r="G68" s="809">
        <v>350000</v>
      </c>
      <c r="H68" s="810">
        <v>750000</v>
      </c>
      <c r="I68" s="810">
        <v>350000</v>
      </c>
      <c r="J68" s="810">
        <v>2550000</v>
      </c>
      <c r="N68" s="806"/>
    </row>
    <row r="69" spans="1:14" hidden="1" x14ac:dyDescent="0.25">
      <c r="B69" s="741"/>
      <c r="C69" s="739"/>
    </row>
    <row r="70" spans="1:14" x14ac:dyDescent="0.25">
      <c r="B70" s="741"/>
      <c r="C70" s="744" t="s">
        <v>161</v>
      </c>
    </row>
    <row r="71" spans="1:14" ht="21" customHeight="1" x14ac:dyDescent="0.25">
      <c r="B71" s="741"/>
      <c r="C71" s="739"/>
      <c r="D71" s="751" t="str">
        <f t="shared" ref="D71:K71" si="9">D51</f>
        <v>2016-2017</v>
      </c>
      <c r="E71" s="751" t="str">
        <f t="shared" si="9"/>
        <v>2017-2018</v>
      </c>
      <c r="F71" s="751" t="str">
        <f t="shared" si="9"/>
        <v>2018-2019</v>
      </c>
      <c r="G71" s="751" t="str">
        <f t="shared" si="9"/>
        <v>2019-2020</v>
      </c>
      <c r="H71" s="752" t="str">
        <f t="shared" si="9"/>
        <v>2020-2021</v>
      </c>
      <c r="I71" s="752" t="str">
        <f t="shared" si="9"/>
        <v>2021-2022</v>
      </c>
      <c r="J71" s="752" t="str">
        <f t="shared" si="9"/>
        <v>2022-2023</v>
      </c>
      <c r="K71" s="752" t="str">
        <f t="shared" si="9"/>
        <v>2023-2024</v>
      </c>
    </row>
    <row r="72" spans="1:14" x14ac:dyDescent="0.25">
      <c r="B72" s="741"/>
      <c r="C72" s="811" t="s">
        <v>167</v>
      </c>
      <c r="D72" s="812">
        <v>2.5000000000000001E-2</v>
      </c>
      <c r="E72" s="812">
        <v>3.1099999999999999E-2</v>
      </c>
      <c r="F72" s="812">
        <v>3.1899999999999998E-2</v>
      </c>
      <c r="G72" s="812">
        <v>2.86E-2</v>
      </c>
      <c r="H72" s="813">
        <v>2.7300000000000001E-2</v>
      </c>
      <c r="I72" s="813">
        <v>2.7300000000000001E-2</v>
      </c>
      <c r="J72" s="813">
        <v>2.7300000000000001E-2</v>
      </c>
      <c r="K72" s="813">
        <v>2.7300000000000001E-2</v>
      </c>
    </row>
    <row r="73" spans="1:14" x14ac:dyDescent="0.25">
      <c r="B73" s="741"/>
      <c r="C73" s="739"/>
      <c r="D73" s="751"/>
      <c r="E73" s="751"/>
      <c r="F73" s="751"/>
      <c r="G73" s="751"/>
      <c r="H73" s="751"/>
    </row>
    <row r="74" spans="1:14" x14ac:dyDescent="0.25">
      <c r="B74" s="741"/>
      <c r="C74" s="744" t="s">
        <v>162</v>
      </c>
    </row>
    <row r="75" spans="1:14" x14ac:dyDescent="0.25">
      <c r="D75" s="787">
        <v>337000</v>
      </c>
      <c r="E75" s="744" t="s">
        <v>163</v>
      </c>
    </row>
    <row r="76" spans="1:14" x14ac:dyDescent="0.25">
      <c r="B76" s="741"/>
      <c r="C76" s="741"/>
      <c r="D76" s="787">
        <v>200000</v>
      </c>
      <c r="E76" s="744" t="s">
        <v>958</v>
      </c>
    </row>
    <row r="77" spans="1:14" x14ac:dyDescent="0.25">
      <c r="B77" s="741"/>
      <c r="C77" s="741"/>
      <c r="D77" s="814">
        <v>25000</v>
      </c>
      <c r="E77" s="744" t="s">
        <v>164</v>
      </c>
    </row>
    <row r="78" spans="1:14" x14ac:dyDescent="0.25">
      <c r="D78" s="787">
        <f>SUM(D75:D77)</f>
        <v>562000</v>
      </c>
      <c r="E78" s="815"/>
    </row>
    <row r="79" spans="1:14" x14ac:dyDescent="0.25"/>
    <row r="80" spans="1:14" x14ac:dyDescent="0.25">
      <c r="C80" s="744" t="s">
        <v>960</v>
      </c>
    </row>
    <row r="81" x14ac:dyDescent="0.25"/>
    <row r="82" x14ac:dyDescent="0.25"/>
    <row r="83" x14ac:dyDescent="0.25"/>
    <row r="84" x14ac:dyDescent="0.25"/>
  </sheetData>
  <sheetProtection password="DBAD" sheet="1" objects="1" scenarios="1"/>
  <mergeCells count="8">
    <mergeCell ref="C66:M66"/>
    <mergeCell ref="C10:M10"/>
    <mergeCell ref="B2:E2"/>
    <mergeCell ref="B3:M3"/>
    <mergeCell ref="C5:M5"/>
    <mergeCell ref="C42:M42"/>
    <mergeCell ref="B27:D28"/>
    <mergeCell ref="D40:E40"/>
  </mergeCells>
  <printOptions horizontalCentered="1"/>
  <pageMargins left="0.25" right="0.25" top="0.45" bottom="0.46" header="0.3" footer="0.28999999999999998"/>
  <pageSetup scale="75" fitToHeight="0" orientation="portrait" r:id="rId1"/>
  <headerFooter>
    <oddFooter>&amp;R&amp;"Cambria,Regular"&amp;10Page &amp;P of &amp;N</oddFooter>
  </headerFooter>
  <rowBreaks count="1" manualBreakCount="1">
    <brk id="45" min="1" max="12" man="1"/>
  </rowBreaks>
  <ignoredErrors>
    <ignoredError sqref="D60:H61 I59:K59"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3:J45"/>
  <sheetViews>
    <sheetView showGridLines="0" zoomScaleNormal="100" workbookViewId="0">
      <selection activeCell="E32" sqref="E32"/>
    </sheetView>
  </sheetViews>
  <sheetFormatPr defaultRowHeight="15" x14ac:dyDescent="0.25"/>
  <cols>
    <col min="1" max="1" width="6" style="165" customWidth="1"/>
    <col min="2" max="2" width="5.140625" style="166" customWidth="1"/>
    <col min="3" max="3" width="17.140625" style="167" customWidth="1"/>
    <col min="4" max="7" width="15.42578125" style="169" customWidth="1"/>
    <col min="8" max="10" width="15.42578125" style="169" hidden="1" customWidth="1"/>
    <col min="11" max="16384" width="9.140625" style="166"/>
  </cols>
  <sheetData>
    <row r="3" spans="1:10" x14ac:dyDescent="0.25">
      <c r="A3" s="165" t="s">
        <v>286</v>
      </c>
      <c r="D3" s="168" t="s">
        <v>55</v>
      </c>
      <c r="E3" s="168" t="str">
        <f>LEFT(D3,4)+1&amp;"-"&amp;RIGHT(D3,4)+1</f>
        <v>2017-2018</v>
      </c>
      <c r="F3" s="168" t="str">
        <f t="shared" ref="F3:J3" si="0">LEFT(E3,4)+1&amp;"-"&amp;RIGHT(E3,4)+1</f>
        <v>2018-2019</v>
      </c>
      <c r="G3" s="168" t="str">
        <f t="shared" si="0"/>
        <v>2019-2020</v>
      </c>
      <c r="H3" s="168" t="str">
        <f t="shared" si="0"/>
        <v>2020-2021</v>
      </c>
      <c r="I3" s="168" t="str">
        <f t="shared" si="0"/>
        <v>2021-2022</v>
      </c>
      <c r="J3" s="168" t="str">
        <f t="shared" si="0"/>
        <v>2022-2023</v>
      </c>
    </row>
    <row r="4" spans="1:10" x14ac:dyDescent="0.25">
      <c r="A4" s="165" t="s">
        <v>290</v>
      </c>
      <c r="F4" s="170"/>
      <c r="G4" s="170"/>
      <c r="H4" s="170"/>
      <c r="I4" s="170"/>
      <c r="J4" s="170"/>
    </row>
    <row r="5" spans="1:10" x14ac:dyDescent="0.25">
      <c r="B5" s="166" t="s">
        <v>291</v>
      </c>
      <c r="D5" s="170">
        <f>+'RS 0617'!D7</f>
        <v>1526770.77</v>
      </c>
      <c r="E5" s="170">
        <f>D9</f>
        <v>807000</v>
      </c>
      <c r="F5" s="170">
        <f t="shared" ref="F5:J5" si="1">E9</f>
        <v>0</v>
      </c>
      <c r="G5" s="170">
        <f t="shared" si="1"/>
        <v>-873</v>
      </c>
      <c r="H5" s="170">
        <f t="shared" si="1"/>
        <v>449127</v>
      </c>
      <c r="I5" s="170">
        <f t="shared" si="1"/>
        <v>0</v>
      </c>
      <c r="J5" s="170">
        <f t="shared" si="1"/>
        <v>100000</v>
      </c>
    </row>
    <row r="6" spans="1:10" x14ac:dyDescent="0.25">
      <c r="C6" s="167" t="s">
        <v>292</v>
      </c>
      <c r="D6" s="170">
        <v>450000</v>
      </c>
      <c r="E6" s="170">
        <f>D6</f>
        <v>450000</v>
      </c>
      <c r="F6" s="170">
        <f t="shared" ref="F6:J6" si="2">E6</f>
        <v>450000</v>
      </c>
      <c r="G6" s="170">
        <f t="shared" si="2"/>
        <v>450000</v>
      </c>
      <c r="H6" s="170">
        <f t="shared" si="2"/>
        <v>450000</v>
      </c>
      <c r="I6" s="170">
        <f t="shared" si="2"/>
        <v>450000</v>
      </c>
      <c r="J6" s="170">
        <f t="shared" si="2"/>
        <v>450000</v>
      </c>
    </row>
    <row r="7" spans="1:10" x14ac:dyDescent="0.25">
      <c r="C7" s="171" t="s">
        <v>293</v>
      </c>
      <c r="D7" s="172">
        <f>+'RS 0617'!D10</f>
        <v>807000</v>
      </c>
      <c r="E7" s="172">
        <f>+'RS 0617'!H10</f>
        <v>574380</v>
      </c>
      <c r="F7" s="172">
        <v>991315.92</v>
      </c>
      <c r="G7" s="172">
        <v>0</v>
      </c>
      <c r="H7" s="172">
        <v>0</v>
      </c>
      <c r="I7" s="172">
        <v>0</v>
      </c>
      <c r="J7" s="172">
        <v>819212</v>
      </c>
    </row>
    <row r="8" spans="1:10" s="173" customFormat="1" x14ac:dyDescent="0.25">
      <c r="C8" s="174" t="s">
        <v>294</v>
      </c>
      <c r="D8" s="175">
        <f>-'RS 0617'!D85</f>
        <v>-1976770.77</v>
      </c>
      <c r="E8" s="175">
        <f>-'RS 0617'!H85</f>
        <v>-1831380</v>
      </c>
      <c r="F8" s="175">
        <f>-F32-F14</f>
        <v>-1442188.92</v>
      </c>
      <c r="G8" s="175">
        <v>0</v>
      </c>
      <c r="H8" s="175">
        <f t="shared" ref="H8:J8" si="3">IF(H32&gt;H6,-H6-H7-H5,-H32)</f>
        <v>-899127</v>
      </c>
      <c r="I8" s="175">
        <f t="shared" si="3"/>
        <v>-350000</v>
      </c>
      <c r="J8" s="175">
        <f t="shared" si="3"/>
        <v>-1369212</v>
      </c>
    </row>
    <row r="9" spans="1:10" x14ac:dyDescent="0.25">
      <c r="B9" s="166" t="s">
        <v>295</v>
      </c>
      <c r="D9" s="170">
        <f>SUM(D5:D8)</f>
        <v>807000</v>
      </c>
      <c r="E9" s="170">
        <f>SUM(E5:E8)</f>
        <v>0</v>
      </c>
      <c r="F9" s="170">
        <f t="shared" ref="F9:J9" si="4">SUM(F5:F8)</f>
        <v>-873</v>
      </c>
      <c r="G9" s="170">
        <f t="shared" si="4"/>
        <v>449127</v>
      </c>
      <c r="H9" s="170">
        <f t="shared" si="4"/>
        <v>0</v>
      </c>
      <c r="I9" s="170">
        <f t="shared" si="4"/>
        <v>100000</v>
      </c>
      <c r="J9" s="170">
        <f t="shared" si="4"/>
        <v>0</v>
      </c>
    </row>
    <row r="10" spans="1:10" x14ac:dyDescent="0.25">
      <c r="D10" s="170"/>
      <c r="E10" s="170"/>
      <c r="F10" s="170"/>
      <c r="G10" s="170"/>
      <c r="H10" s="170"/>
      <c r="I10" s="170"/>
      <c r="J10" s="170"/>
    </row>
    <row r="11" spans="1:10" x14ac:dyDescent="0.25">
      <c r="A11" s="165" t="s">
        <v>296</v>
      </c>
      <c r="F11" s="170"/>
      <c r="G11" s="170"/>
      <c r="H11" s="170"/>
      <c r="I11" s="170"/>
      <c r="J11" s="170"/>
    </row>
    <row r="12" spans="1:10" x14ac:dyDescent="0.25">
      <c r="B12" s="166" t="s">
        <v>291</v>
      </c>
      <c r="D12" s="170">
        <f>+'RS 6300'!D7</f>
        <v>1626106.08</v>
      </c>
      <c r="E12" s="170">
        <f>D15</f>
        <v>1317045.08</v>
      </c>
      <c r="F12" s="170">
        <f t="shared" ref="F12:J12" si="5">E15</f>
        <v>51076.080000000075</v>
      </c>
      <c r="G12" s="170">
        <f t="shared" si="5"/>
        <v>0</v>
      </c>
      <c r="H12" s="170">
        <f t="shared" si="5"/>
        <v>15118</v>
      </c>
      <c r="I12" s="170">
        <f t="shared" si="5"/>
        <v>539075</v>
      </c>
      <c r="J12" s="170">
        <f t="shared" si="5"/>
        <v>913905</v>
      </c>
    </row>
    <row r="13" spans="1:10" x14ac:dyDescent="0.25">
      <c r="C13" s="167" t="s">
        <v>52</v>
      </c>
      <c r="D13" s="170">
        <f>+'RS 6300'!D9</f>
        <v>345197</v>
      </c>
      <c r="E13" s="170">
        <f>+'RS 6300'!H9</f>
        <v>349227</v>
      </c>
      <c r="F13" s="170">
        <f>+'RS 6300'!L9</f>
        <v>356735</v>
      </c>
      <c r="G13" s="170">
        <f>+'RS 6300'!P9</f>
        <v>365118</v>
      </c>
      <c r="H13" s="170">
        <f>+'RS 6300'!T9</f>
        <v>374830</v>
      </c>
      <c r="I13" s="170">
        <f t="shared" ref="I13:J13" si="6">H13</f>
        <v>374830</v>
      </c>
      <c r="J13" s="170">
        <f t="shared" si="6"/>
        <v>374830</v>
      </c>
    </row>
    <row r="14" spans="1:10" s="173" customFormat="1" x14ac:dyDescent="0.25">
      <c r="C14" s="174" t="s">
        <v>294</v>
      </c>
      <c r="D14" s="175">
        <f>-'RS 6300'!D62</f>
        <v>-654258</v>
      </c>
      <c r="E14" s="175">
        <f>-'RS 6300'!H62</f>
        <v>-1615196</v>
      </c>
      <c r="F14" s="175">
        <f>-F12-F13</f>
        <v>-407811.08000000007</v>
      </c>
      <c r="G14" s="175">
        <f t="shared" ref="G14:J14" si="7">-G32-G8</f>
        <v>-350000</v>
      </c>
      <c r="H14" s="175">
        <f t="shared" si="7"/>
        <v>149127</v>
      </c>
      <c r="I14" s="175">
        <f t="shared" si="7"/>
        <v>0</v>
      </c>
      <c r="J14" s="175">
        <f t="shared" si="7"/>
        <v>-1180788</v>
      </c>
    </row>
    <row r="15" spans="1:10" x14ac:dyDescent="0.25">
      <c r="B15" s="166" t="s">
        <v>295</v>
      </c>
      <c r="D15" s="176">
        <f>SUM(D12:D14)</f>
        <v>1317045.08</v>
      </c>
      <c r="E15" s="176">
        <f>SUM(E12:E14)</f>
        <v>51076.080000000075</v>
      </c>
      <c r="F15" s="176">
        <f t="shared" ref="F15" si="8">SUM(F12:F14)</f>
        <v>0</v>
      </c>
      <c r="G15" s="176">
        <f>SUM(G12:G14)</f>
        <v>15118</v>
      </c>
      <c r="H15" s="176">
        <f t="shared" ref="H15:J15" si="9">SUM(H12:H14)</f>
        <v>539075</v>
      </c>
      <c r="I15" s="176">
        <f t="shared" si="9"/>
        <v>913905</v>
      </c>
      <c r="J15" s="176">
        <f t="shared" si="9"/>
        <v>107947</v>
      </c>
    </row>
    <row r="16" spans="1:10" x14ac:dyDescent="0.25">
      <c r="D16" s="166"/>
      <c r="E16" s="170"/>
      <c r="F16" s="170"/>
      <c r="G16" s="170"/>
      <c r="H16" s="170"/>
      <c r="I16" s="170"/>
      <c r="J16" s="170"/>
    </row>
    <row r="17" spans="1:10" s="178" customFormat="1" ht="11.25" x14ac:dyDescent="0.2">
      <c r="A17" s="177"/>
      <c r="C17" s="179" t="s">
        <v>297</v>
      </c>
      <c r="D17" s="180">
        <f>+D9+D15</f>
        <v>2124045.08</v>
      </c>
      <c r="E17" s="180">
        <f>+E9+E15</f>
        <v>51076.080000000075</v>
      </c>
      <c r="F17" s="180">
        <f>+F9+F15</f>
        <v>-873</v>
      </c>
      <c r="G17" s="180">
        <f>+G9+G15</f>
        <v>464245</v>
      </c>
      <c r="H17" s="180">
        <f t="shared" ref="H17:J17" si="10">+H9+H15</f>
        <v>539075</v>
      </c>
      <c r="I17" s="180">
        <f t="shared" si="10"/>
        <v>1013905</v>
      </c>
      <c r="J17" s="180">
        <f t="shared" si="10"/>
        <v>107947</v>
      </c>
    </row>
    <row r="18" spans="1:10" s="178" customFormat="1" ht="11.25" x14ac:dyDescent="0.2">
      <c r="A18" s="177"/>
      <c r="C18" s="179"/>
      <c r="D18" s="180"/>
      <c r="E18" s="180"/>
      <c r="F18" s="180"/>
      <c r="G18" s="180"/>
      <c r="H18" s="180">
        <v>2343046.77</v>
      </c>
      <c r="I18" s="180">
        <v>2374257.77</v>
      </c>
      <c r="J18" s="180">
        <v>3224680.77</v>
      </c>
    </row>
    <row r="19" spans="1:10" x14ac:dyDescent="0.25">
      <c r="D19" s="170"/>
      <c r="E19" s="170"/>
      <c r="F19" s="170"/>
      <c r="G19" s="170"/>
      <c r="H19" s="170"/>
      <c r="I19" s="170"/>
      <c r="J19" s="170"/>
    </row>
    <row r="20" spans="1:10" s="165" customFormat="1" x14ac:dyDescent="0.25">
      <c r="A20" s="210"/>
      <c r="B20" s="211"/>
      <c r="C20" s="212"/>
      <c r="D20" s="213" t="s">
        <v>298</v>
      </c>
      <c r="E20" s="213" t="s">
        <v>299</v>
      </c>
      <c r="F20" s="214" t="s">
        <v>300</v>
      </c>
      <c r="G20" s="215" t="s">
        <v>301</v>
      </c>
      <c r="H20" s="214" t="s">
        <v>302</v>
      </c>
      <c r="I20" s="214" t="s">
        <v>303</v>
      </c>
      <c r="J20" s="216" t="s">
        <v>304</v>
      </c>
    </row>
    <row r="21" spans="1:10" x14ac:dyDescent="0.25">
      <c r="A21" s="181" t="s">
        <v>305</v>
      </c>
      <c r="B21" s="182"/>
      <c r="C21" s="183"/>
      <c r="D21" s="184"/>
      <c r="E21" s="185">
        <v>350000</v>
      </c>
      <c r="F21" s="186">
        <v>350000</v>
      </c>
      <c r="G21" s="208">
        <v>350000</v>
      </c>
      <c r="H21" s="186">
        <v>350000</v>
      </c>
      <c r="I21" s="186">
        <v>350000</v>
      </c>
      <c r="J21" s="187">
        <v>350000</v>
      </c>
    </row>
    <row r="22" spans="1:10" x14ac:dyDescent="0.25">
      <c r="A22" s="181"/>
      <c r="B22" s="182"/>
      <c r="C22" s="183"/>
      <c r="D22" s="184"/>
      <c r="E22" s="184"/>
      <c r="F22" s="188"/>
      <c r="G22" s="209"/>
      <c r="H22" s="188"/>
      <c r="I22" s="188"/>
      <c r="J22" s="189"/>
    </row>
    <row r="23" spans="1:10" x14ac:dyDescent="0.25">
      <c r="A23" s="190" t="s">
        <v>306</v>
      </c>
      <c r="B23" s="191"/>
      <c r="C23" s="192"/>
      <c r="D23" s="193"/>
      <c r="E23" s="193"/>
      <c r="F23" s="193"/>
      <c r="G23" s="194"/>
      <c r="H23" s="193"/>
      <c r="I23" s="182"/>
      <c r="J23" s="194"/>
    </row>
    <row r="24" spans="1:10" x14ac:dyDescent="0.25">
      <c r="A24" s="181" t="s">
        <v>307</v>
      </c>
      <c r="B24" s="182"/>
      <c r="C24" s="183"/>
      <c r="D24" s="195">
        <v>0</v>
      </c>
      <c r="E24" s="195">
        <v>0</v>
      </c>
      <c r="F24" s="195">
        <v>0</v>
      </c>
      <c r="G24" s="196">
        <v>0</v>
      </c>
      <c r="H24" s="195">
        <v>0</v>
      </c>
      <c r="I24" s="195">
        <v>0</v>
      </c>
      <c r="J24" s="196">
        <v>2000000</v>
      </c>
    </row>
    <row r="25" spans="1:10" x14ac:dyDescent="0.25">
      <c r="A25" s="181" t="s">
        <v>308</v>
      </c>
      <c r="B25" s="182"/>
      <c r="C25" s="183"/>
      <c r="D25" s="195">
        <v>2631028.77</v>
      </c>
      <c r="E25" s="195">
        <v>0</v>
      </c>
      <c r="F25" s="195">
        <v>0</v>
      </c>
      <c r="G25" s="196">
        <v>0</v>
      </c>
      <c r="H25" s="195">
        <v>0</v>
      </c>
      <c r="I25" s="195">
        <v>0</v>
      </c>
      <c r="J25" s="196">
        <v>0</v>
      </c>
    </row>
    <row r="26" spans="1:10" x14ac:dyDescent="0.25">
      <c r="A26" s="197" t="s">
        <v>309</v>
      </c>
      <c r="B26" s="198"/>
      <c r="C26" s="199"/>
      <c r="D26" s="195">
        <v>0</v>
      </c>
      <c r="E26" s="195">
        <v>0</v>
      </c>
      <c r="F26" s="195">
        <v>1500000</v>
      </c>
      <c r="G26" s="196">
        <v>0</v>
      </c>
      <c r="H26" s="195">
        <v>0</v>
      </c>
      <c r="I26" s="195">
        <v>0</v>
      </c>
      <c r="J26" s="196">
        <v>0</v>
      </c>
    </row>
    <row r="27" spans="1:10" x14ac:dyDescent="0.25">
      <c r="A27" s="181" t="s">
        <v>310</v>
      </c>
      <c r="B27" s="182"/>
      <c r="C27" s="183"/>
      <c r="D27" s="195">
        <v>0</v>
      </c>
      <c r="E27" s="195">
        <v>3000000</v>
      </c>
      <c r="F27" s="195">
        <v>0</v>
      </c>
      <c r="G27" s="196">
        <v>0</v>
      </c>
      <c r="H27" s="195">
        <v>0</v>
      </c>
      <c r="I27" s="195">
        <v>0</v>
      </c>
      <c r="J27" s="196">
        <v>0</v>
      </c>
    </row>
    <row r="28" spans="1:10" x14ac:dyDescent="0.25">
      <c r="A28" s="197" t="s">
        <v>311</v>
      </c>
      <c r="B28" s="198"/>
      <c r="C28" s="199"/>
      <c r="D28" s="195">
        <v>0</v>
      </c>
      <c r="E28" s="195">
        <v>0</v>
      </c>
      <c r="F28" s="195">
        <v>0</v>
      </c>
      <c r="G28" s="196">
        <v>0</v>
      </c>
      <c r="H28" s="195">
        <v>400000</v>
      </c>
      <c r="I28" s="200">
        <v>0</v>
      </c>
      <c r="J28" s="196">
        <v>0</v>
      </c>
    </row>
    <row r="29" spans="1:10" x14ac:dyDescent="0.25">
      <c r="A29" s="197" t="s">
        <v>312</v>
      </c>
      <c r="B29" s="198"/>
      <c r="C29" s="199"/>
      <c r="D29" s="195">
        <v>0</v>
      </c>
      <c r="E29" s="195">
        <v>0</v>
      </c>
      <c r="F29" s="195">
        <v>0</v>
      </c>
      <c r="G29" s="196">
        <v>0</v>
      </c>
      <c r="H29" s="195">
        <v>0</v>
      </c>
      <c r="I29" s="195">
        <v>0</v>
      </c>
      <c r="J29" s="196">
        <v>200000</v>
      </c>
    </row>
    <row r="30" spans="1:10" x14ac:dyDescent="0.25">
      <c r="A30" s="197" t="s">
        <v>313</v>
      </c>
      <c r="B30" s="198"/>
      <c r="C30" s="199"/>
      <c r="D30" s="195">
        <v>0</v>
      </c>
      <c r="E30" s="195">
        <v>0</v>
      </c>
      <c r="F30" s="195">
        <v>0</v>
      </c>
      <c r="G30" s="196">
        <v>0</v>
      </c>
      <c r="H30" s="195">
        <v>0</v>
      </c>
      <c r="I30" s="195">
        <v>0</v>
      </c>
      <c r="J30" s="196">
        <v>0</v>
      </c>
    </row>
    <row r="31" spans="1:10" x14ac:dyDescent="0.25">
      <c r="A31" s="201" t="s">
        <v>314</v>
      </c>
      <c r="B31" s="202"/>
      <c r="C31" s="203"/>
      <c r="D31" s="204">
        <v>0</v>
      </c>
      <c r="E31" s="204">
        <v>0</v>
      </c>
      <c r="F31" s="204">
        <v>0</v>
      </c>
      <c r="G31" s="205">
        <v>0</v>
      </c>
      <c r="H31" s="204">
        <v>0</v>
      </c>
      <c r="I31" s="204">
        <v>0</v>
      </c>
      <c r="J31" s="205">
        <v>0</v>
      </c>
    </row>
    <row r="32" spans="1:10" x14ac:dyDescent="0.25">
      <c r="C32" s="206" t="s">
        <v>118</v>
      </c>
      <c r="D32" s="170">
        <f>SUM(D21:D31)</f>
        <v>2631028.77</v>
      </c>
      <c r="E32" s="170">
        <f t="shared" ref="E32:J32" si="11">SUM(E21:E31)</f>
        <v>3350000</v>
      </c>
      <c r="F32" s="170">
        <f t="shared" si="11"/>
        <v>1850000</v>
      </c>
      <c r="G32" s="170">
        <f t="shared" si="11"/>
        <v>350000</v>
      </c>
      <c r="H32" s="170">
        <f t="shared" si="11"/>
        <v>750000</v>
      </c>
      <c r="I32" s="170">
        <f t="shared" si="11"/>
        <v>350000</v>
      </c>
      <c r="J32" s="170">
        <f t="shared" si="11"/>
        <v>2550000</v>
      </c>
    </row>
    <row r="33" spans="1:10" x14ac:dyDescent="0.25">
      <c r="D33" s="166"/>
      <c r="E33" s="166"/>
      <c r="F33" s="166"/>
      <c r="G33" s="166"/>
      <c r="H33" s="166"/>
      <c r="I33" s="166"/>
      <c r="J33" s="166"/>
    </row>
    <row r="34" spans="1:10" x14ac:dyDescent="0.25">
      <c r="D34" s="170"/>
      <c r="E34" s="170"/>
      <c r="F34" s="170"/>
      <c r="G34" s="170"/>
      <c r="H34" s="170"/>
      <c r="I34" s="170"/>
      <c r="J34" s="170"/>
    </row>
    <row r="35" spans="1:10" s="178" customFormat="1" ht="11.25" x14ac:dyDescent="0.2">
      <c r="A35" s="177"/>
      <c r="C35" s="207" t="s">
        <v>297</v>
      </c>
      <c r="D35" s="180">
        <f t="shared" ref="D35:J35" si="12">-D8-D14</f>
        <v>2631028.77</v>
      </c>
      <c r="E35" s="180">
        <f>-E8-E14</f>
        <v>3446576</v>
      </c>
      <c r="F35" s="180">
        <f t="shared" si="12"/>
        <v>1850000</v>
      </c>
      <c r="G35" s="180">
        <f t="shared" si="12"/>
        <v>350000</v>
      </c>
      <c r="H35" s="180">
        <f t="shared" si="12"/>
        <v>750000</v>
      </c>
      <c r="I35" s="180">
        <f t="shared" si="12"/>
        <v>350000</v>
      </c>
      <c r="J35" s="180">
        <f t="shared" si="12"/>
        <v>2550000</v>
      </c>
    </row>
    <row r="36" spans="1:10" x14ac:dyDescent="0.25">
      <c r="D36" s="170">
        <f>+D32-D35</f>
        <v>0</v>
      </c>
      <c r="E36" s="170">
        <f t="shared" ref="E36:J36" si="13">+E32-E35</f>
        <v>-96576</v>
      </c>
      <c r="F36" s="170">
        <f t="shared" si="13"/>
        <v>0</v>
      </c>
      <c r="G36" s="170">
        <f t="shared" si="13"/>
        <v>0</v>
      </c>
      <c r="H36" s="170">
        <f t="shared" si="13"/>
        <v>0</v>
      </c>
      <c r="I36" s="170">
        <f t="shared" si="13"/>
        <v>0</v>
      </c>
      <c r="J36" s="170">
        <f t="shared" si="13"/>
        <v>0</v>
      </c>
    </row>
    <row r="37" spans="1:10" x14ac:dyDescent="0.25">
      <c r="D37" s="170"/>
      <c r="E37" s="170"/>
      <c r="F37" s="170"/>
      <c r="G37" s="170"/>
      <c r="H37" s="170"/>
      <c r="I37" s="170"/>
      <c r="J37" s="170"/>
    </row>
    <row r="38" spans="1:10" x14ac:dyDescent="0.25">
      <c r="D38" s="170"/>
      <c r="E38" s="170"/>
      <c r="F38" s="170"/>
      <c r="G38" s="170"/>
      <c r="H38" s="170"/>
      <c r="I38" s="170"/>
      <c r="J38" s="170"/>
    </row>
    <row r="39" spans="1:10" x14ac:dyDescent="0.25">
      <c r="D39" s="170"/>
      <c r="E39" s="170"/>
      <c r="F39" s="170"/>
      <c r="G39" s="170"/>
      <c r="H39" s="170"/>
      <c r="I39" s="170"/>
      <c r="J39" s="170"/>
    </row>
    <row r="40" spans="1:10" x14ac:dyDescent="0.25">
      <c r="D40" s="170"/>
      <c r="E40" s="170"/>
      <c r="F40" s="170"/>
      <c r="G40" s="170"/>
      <c r="H40" s="170"/>
      <c r="I40" s="170"/>
      <c r="J40" s="170"/>
    </row>
    <row r="41" spans="1:10" x14ac:dyDescent="0.25">
      <c r="D41" s="170"/>
      <c r="E41" s="170"/>
      <c r="F41" s="170"/>
      <c r="G41" s="170"/>
      <c r="H41" s="170"/>
      <c r="I41" s="170"/>
      <c r="J41" s="170"/>
    </row>
    <row r="42" spans="1:10" x14ac:dyDescent="0.25">
      <c r="D42" s="170"/>
      <c r="E42" s="170"/>
      <c r="F42" s="170"/>
      <c r="G42" s="170"/>
      <c r="H42" s="170"/>
      <c r="I42" s="170"/>
      <c r="J42" s="170"/>
    </row>
    <row r="43" spans="1:10" x14ac:dyDescent="0.25">
      <c r="D43" s="170"/>
      <c r="E43" s="170"/>
      <c r="F43" s="170"/>
      <c r="G43" s="170"/>
      <c r="H43" s="170"/>
      <c r="I43" s="170"/>
      <c r="J43" s="170"/>
    </row>
    <row r="44" spans="1:10" x14ac:dyDescent="0.25">
      <c r="D44" s="170"/>
      <c r="E44" s="170"/>
      <c r="F44" s="170"/>
      <c r="G44" s="170"/>
      <c r="H44" s="170"/>
      <c r="I44" s="170"/>
      <c r="J44" s="170"/>
    </row>
    <row r="45" spans="1:10" x14ac:dyDescent="0.25">
      <c r="D45" s="170"/>
      <c r="E45" s="170"/>
      <c r="F45" s="170"/>
      <c r="G45" s="170"/>
      <c r="H45" s="170"/>
      <c r="I45" s="170"/>
      <c r="J45" s="170"/>
    </row>
  </sheetData>
  <pageMargins left="0.7" right="0.7" top="0.75" bottom="0.75" header="0.3" footer="0.3"/>
  <pageSetup orientation="portrait" horizontalDpi="300" verticalDpi="300" r:id="rId1"/>
  <headerFooter>
    <oddHeader>&amp;L&amp;F</oddHead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210"/>
  <sheetViews>
    <sheetView zoomScaleNormal="100" workbookViewId="0">
      <pane xSplit="3" ySplit="6" topLeftCell="H73" activePane="bottomRight" state="frozen"/>
      <selection activeCell="L156" sqref="L156"/>
      <selection pane="topRight" activeCell="L156" sqref="L156"/>
      <selection pane="bottomLeft" activeCell="L156" sqref="L156"/>
      <selection pane="bottomRight" activeCell="H89" sqref="H89"/>
    </sheetView>
  </sheetViews>
  <sheetFormatPr defaultRowHeight="15" x14ac:dyDescent="0.25"/>
  <cols>
    <col min="1" max="1" width="2.42578125" style="108" customWidth="1"/>
    <col min="2" max="2" width="8.5703125" style="1374" customWidth="1"/>
    <col min="3" max="3" width="51.42578125" style="1249" bestFit="1" customWidth="1"/>
    <col min="4" max="4" width="16" style="2" customWidth="1"/>
    <col min="5" max="5" width="23.28515625" style="1249" bestFit="1" customWidth="1"/>
    <col min="6" max="6" width="6" style="2" customWidth="1"/>
    <col min="7" max="7" width="10.7109375" style="1399" customWidth="1"/>
    <col min="8" max="8" width="17.85546875" style="123" bestFit="1" customWidth="1"/>
    <col min="9" max="9" width="26" style="1257" customWidth="1"/>
    <col min="10" max="10" width="5.7109375" style="66" customWidth="1"/>
    <col min="11" max="11" width="9.85546875" style="1550" bestFit="1" customWidth="1"/>
    <col min="12" max="12" width="15.42578125" style="124" bestFit="1" customWidth="1"/>
    <col min="13" max="13" width="26.140625" style="1519" customWidth="1"/>
    <col min="14" max="14" width="5.7109375" style="2" customWidth="1"/>
    <col min="15" max="15" width="9.5703125" style="1550" bestFit="1" customWidth="1"/>
    <col min="16" max="16" width="15.42578125" style="2" bestFit="1" customWidth="1"/>
    <col min="17" max="17" width="25" style="1519" customWidth="1"/>
    <col min="18" max="18" width="5.7109375" style="424" customWidth="1"/>
    <col min="19" max="19" width="9.42578125" style="2" hidden="1" customWidth="1"/>
    <col min="20" max="20" width="14" style="2" hidden="1" customWidth="1"/>
    <col min="21" max="21" width="24.85546875" style="2" hidden="1" customWidth="1"/>
    <col min="22" max="22" width="5.7109375" style="2" hidden="1" customWidth="1"/>
    <col min="23" max="23" width="9.42578125" style="2" hidden="1" customWidth="1"/>
    <col min="24" max="24" width="14" style="2" hidden="1" customWidth="1"/>
    <col min="25" max="25" width="24.85546875" style="2" hidden="1" customWidth="1"/>
    <col min="26" max="26" width="5.7109375" style="2" hidden="1" customWidth="1"/>
    <col min="27" max="27" width="9.42578125" style="2" hidden="1" customWidth="1"/>
    <col min="28" max="28" width="14" style="2" hidden="1" customWidth="1"/>
    <col min="29" max="29" width="24.85546875" style="2" hidden="1" customWidth="1"/>
    <col min="30" max="16384" width="9.140625" style="2"/>
  </cols>
  <sheetData>
    <row r="1" spans="1:29" x14ac:dyDescent="0.25">
      <c r="B1" s="1374" t="s">
        <v>61</v>
      </c>
      <c r="C1" s="1375" t="s">
        <v>691</v>
      </c>
      <c r="D1" s="97">
        <v>0</v>
      </c>
      <c r="E1" s="1369"/>
      <c r="F1" s="123"/>
      <c r="G1" s="75"/>
      <c r="H1" s="99">
        <v>0</v>
      </c>
      <c r="I1" s="1369"/>
      <c r="L1" s="123">
        <v>0</v>
      </c>
      <c r="M1" s="1369"/>
      <c r="P1" s="123">
        <v>0</v>
      </c>
      <c r="Q1" s="1369"/>
      <c r="T1" s="123">
        <v>0</v>
      </c>
      <c r="U1" s="123"/>
      <c r="X1" s="123">
        <v>0</v>
      </c>
      <c r="Y1" s="123"/>
      <c r="AB1" s="123">
        <v>0</v>
      </c>
      <c r="AC1" s="123"/>
    </row>
    <row r="2" spans="1:29" ht="17.25" x14ac:dyDescent="0.4">
      <c r="B2" s="1376" t="s">
        <v>59</v>
      </c>
      <c r="C2" s="1377" t="s">
        <v>842</v>
      </c>
      <c r="D2" s="99">
        <v>0</v>
      </c>
      <c r="E2" s="1369"/>
      <c r="F2" s="123"/>
      <c r="G2" s="1534"/>
      <c r="H2" s="99">
        <v>0</v>
      </c>
      <c r="I2" s="1369"/>
      <c r="L2" s="87">
        <v>0</v>
      </c>
      <c r="M2" s="1369"/>
      <c r="P2" s="87">
        <v>0</v>
      </c>
      <c r="Q2" s="1369"/>
      <c r="T2" s="87">
        <v>0</v>
      </c>
      <c r="U2" s="123"/>
      <c r="X2" s="87">
        <v>0</v>
      </c>
      <c r="Y2" s="123"/>
      <c r="AB2" s="87">
        <v>0</v>
      </c>
      <c r="AC2" s="123"/>
    </row>
    <row r="3" spans="1:29" x14ac:dyDescent="0.25">
      <c r="D3" s="425">
        <f>+SUM(D1:D2)</f>
        <v>0</v>
      </c>
      <c r="E3" s="1370"/>
      <c r="F3" s="99"/>
      <c r="G3" s="1527"/>
      <c r="H3" s="425">
        <f>+SUM(H1:H2)</f>
        <v>0</v>
      </c>
      <c r="I3" s="1390"/>
      <c r="L3" s="123">
        <f>SUM(L1:L2)</f>
        <v>0</v>
      </c>
      <c r="M3" s="1518"/>
      <c r="P3" s="123">
        <f>SUM(P1:P2)</f>
        <v>0</v>
      </c>
      <c r="Q3" s="1518"/>
      <c r="T3" s="123">
        <f>SUM(T1:T2)</f>
        <v>0</v>
      </c>
      <c r="U3" s="36"/>
      <c r="X3" s="123">
        <f>SUM(X1:X2)</f>
        <v>0</v>
      </c>
      <c r="Y3" s="36"/>
      <c r="AB3" s="123">
        <f>SUM(AB1:AB2)</f>
        <v>0</v>
      </c>
      <c r="AC3" s="36"/>
    </row>
    <row r="4" spans="1:29" x14ac:dyDescent="0.25">
      <c r="L4" s="123"/>
      <c r="M4" s="1518"/>
      <c r="P4" s="123"/>
      <c r="Q4" s="1518"/>
      <c r="T4" s="123"/>
      <c r="U4" s="36"/>
      <c r="X4" s="123"/>
      <c r="Y4" s="36"/>
      <c r="AB4" s="123"/>
      <c r="AC4" s="36"/>
    </row>
    <row r="5" spans="1:29" ht="15.75" x14ac:dyDescent="0.25">
      <c r="B5" s="1378" t="s">
        <v>56</v>
      </c>
      <c r="P5" s="124"/>
      <c r="T5" s="124"/>
      <c r="X5" s="124"/>
      <c r="AB5" s="124"/>
    </row>
    <row r="6" spans="1:29" s="384" customFormat="1" ht="15.75" x14ac:dyDescent="0.25">
      <c r="A6" s="383"/>
      <c r="B6" s="1379"/>
      <c r="C6" s="1379"/>
      <c r="D6" s="385" t="s">
        <v>55</v>
      </c>
      <c r="E6" s="1371"/>
      <c r="G6" s="1535"/>
      <c r="H6" s="426" t="str">
        <f>LEFT(D6,4)+1&amp;"-"&amp;RIGHT(D6,4)+1</f>
        <v>2017-2018</v>
      </c>
      <c r="I6" s="1391"/>
      <c r="J6" s="427"/>
      <c r="K6" s="1569"/>
      <c r="L6" s="125" t="str">
        <f>LEFT(H6,4)+1&amp;"-"&amp;RIGHT(H6,4)+1</f>
        <v>2018-2019</v>
      </c>
      <c r="M6" s="1520"/>
      <c r="N6" s="428"/>
      <c r="O6" s="1583"/>
      <c r="P6" s="125" t="str">
        <f>LEFT(L6,4)+1&amp;"-"&amp;RIGHT(L6,4)+1</f>
        <v>2019-2020</v>
      </c>
      <c r="Q6" s="1520"/>
      <c r="R6" s="429"/>
      <c r="S6" s="125"/>
      <c r="T6" s="125" t="str">
        <f>LEFT(P6,4)+1&amp;"-"&amp;RIGHT(P6,4)+1</f>
        <v>2020-2021</v>
      </c>
      <c r="U6" s="125"/>
      <c r="V6" s="428"/>
      <c r="W6" s="125"/>
      <c r="X6" s="125" t="str">
        <f>LEFT(T6,4)+1&amp;"-"&amp;RIGHT(T6,4)+1</f>
        <v>2021-2022</v>
      </c>
      <c r="Y6" s="125"/>
      <c r="Z6" s="428"/>
      <c r="AA6" s="125"/>
      <c r="AB6" s="125" t="str">
        <f>LEFT(X6,4)+1&amp;"-"&amp;RIGHT(X6,4)+1</f>
        <v>2022-2023</v>
      </c>
      <c r="AC6" s="125"/>
    </row>
    <row r="7" spans="1:29" x14ac:dyDescent="0.25">
      <c r="B7" s="1380" t="s">
        <v>54</v>
      </c>
      <c r="D7" s="2">
        <v>8757347.3800000008</v>
      </c>
      <c r="E7" s="1372"/>
      <c r="H7" s="2">
        <f>D173</f>
        <v>6874716.6300000008</v>
      </c>
      <c r="I7" s="1372"/>
      <c r="L7" s="2">
        <f>H173</f>
        <v>1701527.6300000008</v>
      </c>
      <c r="M7" s="1521"/>
      <c r="P7" s="2">
        <f>L173</f>
        <v>-1171438.5735000018</v>
      </c>
      <c r="Q7" s="1521"/>
      <c r="T7" s="2">
        <f>P173</f>
        <v>-4635954.8312822524</v>
      </c>
      <c r="U7" s="430"/>
      <c r="X7" s="2">
        <f>T173</f>
        <v>-44315930.831282251</v>
      </c>
      <c r="Y7" s="430"/>
      <c r="AB7" s="2">
        <f>X173</f>
        <v>-85036078.831282258</v>
      </c>
      <c r="AC7" s="430"/>
    </row>
    <row r="8" spans="1:29" x14ac:dyDescent="0.25">
      <c r="E8" s="1372"/>
      <c r="H8" s="2"/>
      <c r="I8" s="1372"/>
      <c r="L8" s="2"/>
      <c r="M8" s="1521"/>
      <c r="Q8" s="1521"/>
      <c r="U8" s="430"/>
      <c r="Y8" s="430"/>
      <c r="AC8" s="430"/>
    </row>
    <row r="9" spans="1:29" x14ac:dyDescent="0.25">
      <c r="B9" s="1374" t="s">
        <v>52</v>
      </c>
      <c r="E9" s="1372"/>
      <c r="G9" s="1527"/>
      <c r="H9" s="3"/>
      <c r="I9" s="1372"/>
      <c r="J9" s="61"/>
      <c r="K9" s="1527"/>
      <c r="L9" s="3"/>
      <c r="M9" s="1521"/>
      <c r="O9" s="1527"/>
      <c r="P9" s="3"/>
      <c r="Q9" s="1521"/>
      <c r="S9" s="130" t="str">
        <f>IF(P9=0,"0.00%",(T9-P9)/P9)</f>
        <v>0.00%</v>
      </c>
      <c r="T9" s="3">
        <f>T3</f>
        <v>0</v>
      </c>
      <c r="U9" s="430"/>
      <c r="W9" s="130" t="str">
        <f>IF(T9=0,"0.00%",(X9-T9)/T9)</f>
        <v>0.00%</v>
      </c>
      <c r="X9" s="3">
        <f>X3</f>
        <v>0</v>
      </c>
      <c r="Y9" s="430"/>
      <c r="AA9" s="130" t="str">
        <f>IF(X9=0,"0.00%",(AB9-X9)/X9)</f>
        <v>0.00%</v>
      </c>
      <c r="AB9" s="3">
        <f>AB3</f>
        <v>0</v>
      </c>
      <c r="AC9" s="430"/>
    </row>
    <row r="10" spans="1:29" x14ac:dyDescent="0.25">
      <c r="B10" s="1381" t="s">
        <v>458</v>
      </c>
      <c r="C10" s="1249" t="s">
        <v>414</v>
      </c>
      <c r="D10" s="2">
        <f>37313406.94+10049765+193011+16173+13401218+727660+18006+285313-1760308-1612468</f>
        <v>58631776.939999998</v>
      </c>
      <c r="E10" s="1372"/>
      <c r="G10" s="1527">
        <f t="shared" ref="G10:G27" si="0">IF(D10=0,"0.00%",(H10-D10)/D10)</f>
        <v>-1.1953892182343905E-2</v>
      </c>
      <c r="H10" s="3">
        <f>36384776+9405638+13898169-1757684</f>
        <v>57930899</v>
      </c>
      <c r="I10" s="1372"/>
      <c r="J10" s="61"/>
      <c r="K10" s="1527">
        <f t="shared" ref="K10:K29" si="1">IF(H10=0,"0.00%",(L10-H10)/H10)</f>
        <v>2.8894027693235003E-2</v>
      </c>
      <c r="L10" s="3">
        <f>66977302-'RS 0653'!L9-'RS 0654'!L9-'RS 0655'!L9-'RS 0617'!L11</f>
        <v>59604756</v>
      </c>
      <c r="M10" s="1521"/>
      <c r="O10" s="1527">
        <f t="shared" ref="O10:O29" si="2">IF(L10=0,"0.00%",(P10-L10)/L10)</f>
        <v>2.5597202344054559E-2</v>
      </c>
      <c r="P10" s="3">
        <f>68820605-'RS 0653'!P9-'RS 0654'!P9-'RS 0655'!P9-'RS 0617'!P11</f>
        <v>61130471</v>
      </c>
      <c r="Q10" s="1521"/>
      <c r="S10" s="130"/>
      <c r="T10" s="3"/>
      <c r="U10" s="430"/>
      <c r="W10" s="130"/>
      <c r="X10" s="3"/>
      <c r="Y10" s="430"/>
      <c r="AA10" s="130"/>
      <c r="AB10" s="3"/>
      <c r="AC10" s="430"/>
    </row>
    <row r="11" spans="1:29" ht="21.95" customHeight="1" x14ac:dyDescent="0.25">
      <c r="B11" s="1381">
        <v>8290</v>
      </c>
      <c r="C11" s="1249" t="s">
        <v>459</v>
      </c>
      <c r="D11" s="2">
        <v>79154</v>
      </c>
      <c r="E11" s="1372"/>
      <c r="G11" s="1527">
        <f t="shared" si="0"/>
        <v>-1</v>
      </c>
      <c r="H11" s="3">
        <v>0</v>
      </c>
      <c r="I11" s="1372"/>
      <c r="J11" s="61"/>
      <c r="K11" s="1527" t="str">
        <f t="shared" si="1"/>
        <v>0.00%</v>
      </c>
      <c r="L11" s="3"/>
      <c r="M11" s="1521"/>
      <c r="O11" s="1527" t="str">
        <f t="shared" si="2"/>
        <v>0.00%</v>
      </c>
      <c r="P11" s="3"/>
      <c r="Q11" s="1521"/>
      <c r="S11" s="130"/>
      <c r="T11" s="3"/>
      <c r="U11" s="430"/>
      <c r="W11" s="130"/>
      <c r="X11" s="3"/>
      <c r="Y11" s="430"/>
      <c r="AA11" s="130"/>
      <c r="AB11" s="3"/>
      <c r="AC11" s="430"/>
    </row>
    <row r="12" spans="1:29" ht="21.95" customHeight="1" x14ac:dyDescent="0.25">
      <c r="B12" s="1381">
        <v>8550</v>
      </c>
      <c r="C12" s="1249" t="s">
        <v>460</v>
      </c>
      <c r="D12" s="430">
        <v>223536</v>
      </c>
      <c r="E12" s="1372" t="s">
        <v>480</v>
      </c>
      <c r="G12" s="1527">
        <f t="shared" si="0"/>
        <v>-1.5818481139503258E-2</v>
      </c>
      <c r="H12" s="3">
        <v>220000</v>
      </c>
      <c r="I12" s="1372" t="s">
        <v>943</v>
      </c>
      <c r="J12" s="61"/>
      <c r="K12" s="1527">
        <f t="shared" si="1"/>
        <v>-6.4772727272727273E-3</v>
      </c>
      <c r="L12" s="3">
        <f>ROUND(28.42*7690.87,0)</f>
        <v>218575</v>
      </c>
      <c r="M12" s="1521" t="s">
        <v>944</v>
      </c>
      <c r="O12" s="1527">
        <f t="shared" si="2"/>
        <v>-1.7476838613748142E-3</v>
      </c>
      <c r="P12" s="3">
        <f>ROUND(28.42*7677.44,0)</f>
        <v>218193</v>
      </c>
      <c r="Q12" s="1521" t="s">
        <v>945</v>
      </c>
      <c r="S12" s="130"/>
      <c r="T12" s="3"/>
      <c r="U12" s="430"/>
      <c r="W12" s="130"/>
      <c r="X12" s="3"/>
      <c r="Y12" s="430"/>
      <c r="AA12" s="130"/>
      <c r="AB12" s="3"/>
      <c r="AC12" s="430"/>
    </row>
    <row r="13" spans="1:29" s="162" customFormat="1" x14ac:dyDescent="0.25">
      <c r="A13" s="485"/>
      <c r="B13" s="1382">
        <v>8550</v>
      </c>
      <c r="C13" s="1373" t="s">
        <v>461</v>
      </c>
      <c r="D13" s="162">
        <v>1687542</v>
      </c>
      <c r="E13" s="1373" t="s">
        <v>479</v>
      </c>
      <c r="G13" s="1536">
        <f t="shared" si="0"/>
        <v>-1</v>
      </c>
      <c r="H13" s="486">
        <v>0</v>
      </c>
      <c r="I13" s="1373" t="s">
        <v>828</v>
      </c>
      <c r="J13" s="487"/>
      <c r="K13" s="1536" t="str">
        <f t="shared" si="1"/>
        <v>0.00%</v>
      </c>
      <c r="L13" s="486">
        <v>0</v>
      </c>
      <c r="M13" s="1522"/>
      <c r="O13" s="1536" t="str">
        <f t="shared" si="2"/>
        <v>0.00%</v>
      </c>
      <c r="P13" s="486">
        <v>0</v>
      </c>
      <c r="Q13" s="1522"/>
      <c r="R13" s="488"/>
      <c r="S13" s="489"/>
      <c r="T13" s="486"/>
      <c r="W13" s="489"/>
      <c r="X13" s="486"/>
      <c r="AA13" s="489"/>
      <c r="AB13" s="486"/>
    </row>
    <row r="14" spans="1:29" s="492" customFormat="1" x14ac:dyDescent="0.25">
      <c r="A14" s="491"/>
      <c r="B14" s="1383">
        <v>8590</v>
      </c>
      <c r="C14" s="1266" t="s">
        <v>462</v>
      </c>
      <c r="D14" s="492">
        <v>30628.78</v>
      </c>
      <c r="E14" s="1266"/>
      <c r="G14" s="1537">
        <f t="shared" si="0"/>
        <v>-0.15598988924795565</v>
      </c>
      <c r="H14" s="494">
        <v>25851</v>
      </c>
      <c r="I14" s="1266"/>
      <c r="J14" s="495"/>
      <c r="K14" s="1537">
        <f t="shared" si="1"/>
        <v>2.1500000000000016E-2</v>
      </c>
      <c r="L14" s="494">
        <f>+H14*(1+M14)</f>
        <v>26406.7965</v>
      </c>
      <c r="M14" s="1523">
        <v>2.1499999999999998E-2</v>
      </c>
      <c r="O14" s="1537">
        <f t="shared" si="2"/>
        <v>2.3500000000000083E-2</v>
      </c>
      <c r="P14" s="494">
        <f>+L14*(1+Q14)</f>
        <v>27027.356217750003</v>
      </c>
      <c r="Q14" s="1523">
        <v>2.35E-2</v>
      </c>
      <c r="R14" s="496"/>
      <c r="S14" s="497"/>
      <c r="T14" s="494"/>
      <c r="W14" s="497"/>
      <c r="X14" s="494"/>
      <c r="AA14" s="497"/>
      <c r="AB14" s="494"/>
    </row>
    <row r="15" spans="1:29" s="162" customFormat="1" ht="21.95" customHeight="1" x14ac:dyDescent="0.25">
      <c r="A15" s="485"/>
      <c r="B15" s="1382" t="s">
        <v>473</v>
      </c>
      <c r="C15" s="1373" t="s">
        <v>477</v>
      </c>
      <c r="D15" s="162">
        <v>807000</v>
      </c>
      <c r="E15" s="1373"/>
      <c r="G15" s="1536">
        <f t="shared" si="0"/>
        <v>-1</v>
      </c>
      <c r="H15" s="486">
        <v>0</v>
      </c>
      <c r="I15" s="1373"/>
      <c r="J15" s="487"/>
      <c r="K15" s="1536" t="str">
        <f t="shared" si="1"/>
        <v>0.00%</v>
      </c>
      <c r="L15" s="486">
        <v>0</v>
      </c>
      <c r="M15" s="1522"/>
      <c r="O15" s="1536" t="str">
        <f t="shared" si="2"/>
        <v>0.00%</v>
      </c>
      <c r="P15" s="486">
        <v>0</v>
      </c>
      <c r="Q15" s="1522"/>
      <c r="R15" s="488"/>
      <c r="S15" s="489"/>
      <c r="T15" s="486"/>
      <c r="W15" s="489"/>
      <c r="X15" s="486"/>
      <c r="AA15" s="489"/>
      <c r="AB15" s="486"/>
    </row>
    <row r="16" spans="1:29" s="162" customFormat="1" x14ac:dyDescent="0.25">
      <c r="A16" s="485"/>
      <c r="B16" s="1382" t="s">
        <v>473</v>
      </c>
      <c r="C16" s="1373" t="s">
        <v>476</v>
      </c>
      <c r="D16" s="162">
        <v>69320</v>
      </c>
      <c r="E16" s="1373"/>
      <c r="G16" s="1536">
        <f t="shared" si="0"/>
        <v>-1</v>
      </c>
      <c r="H16" s="486">
        <v>0</v>
      </c>
      <c r="I16" s="1373"/>
      <c r="J16" s="487"/>
      <c r="K16" s="1536" t="str">
        <f t="shared" si="1"/>
        <v>0.00%</v>
      </c>
      <c r="L16" s="486">
        <v>0</v>
      </c>
      <c r="M16" s="1522"/>
      <c r="O16" s="1536" t="str">
        <f t="shared" si="2"/>
        <v>0.00%</v>
      </c>
      <c r="P16" s="486">
        <v>0</v>
      </c>
      <c r="Q16" s="1522"/>
      <c r="R16" s="488"/>
      <c r="S16" s="489"/>
      <c r="T16" s="486"/>
      <c r="W16" s="489"/>
      <c r="X16" s="486"/>
      <c r="AA16" s="489"/>
      <c r="AB16" s="486"/>
    </row>
    <row r="17" spans="2:29" x14ac:dyDescent="0.25">
      <c r="B17" s="1384" t="s">
        <v>473</v>
      </c>
      <c r="C17" s="1249" t="s">
        <v>475</v>
      </c>
      <c r="D17" s="2">
        <f>20204+10000</f>
        <v>30204</v>
      </c>
      <c r="E17" s="1372"/>
      <c r="G17" s="1527">
        <f t="shared" si="0"/>
        <v>-6.7540723083035362E-3</v>
      </c>
      <c r="H17" s="398">
        <f>20000+10000</f>
        <v>30000</v>
      </c>
      <c r="I17" s="1372"/>
      <c r="J17" s="61"/>
      <c r="K17" s="1527">
        <f t="shared" si="1"/>
        <v>0</v>
      </c>
      <c r="L17" s="3">
        <f>+H17</f>
        <v>30000</v>
      </c>
      <c r="M17" s="1521"/>
      <c r="O17" s="1527">
        <f t="shared" si="2"/>
        <v>0</v>
      </c>
      <c r="P17" s="3">
        <f>+L17</f>
        <v>30000</v>
      </c>
      <c r="Q17" s="1521"/>
      <c r="S17" s="130"/>
      <c r="T17" s="3"/>
      <c r="U17" s="430"/>
      <c r="W17" s="130"/>
      <c r="X17" s="3"/>
      <c r="Y17" s="430"/>
      <c r="AA17" s="130"/>
      <c r="AB17" s="3"/>
      <c r="AC17" s="430"/>
    </row>
    <row r="18" spans="2:29" x14ac:dyDescent="0.25">
      <c r="B18" s="1384" t="s">
        <v>473</v>
      </c>
      <c r="C18" s="1249" t="s">
        <v>474</v>
      </c>
      <c r="D18" s="2">
        <v>180409.75</v>
      </c>
      <c r="E18" s="1372"/>
      <c r="G18" s="1527">
        <f t="shared" si="0"/>
        <v>-6.1203732059935782E-2</v>
      </c>
      <c r="H18" s="398">
        <v>169368</v>
      </c>
      <c r="I18" s="1372"/>
      <c r="J18" s="61"/>
      <c r="K18" s="1527">
        <f t="shared" si="1"/>
        <v>3.1900949411931417E-2</v>
      </c>
      <c r="L18" s="3">
        <f>ROUND(+H18*1.0319,0)</f>
        <v>174771</v>
      </c>
      <c r="M18" s="1521"/>
      <c r="O18" s="1527">
        <f t="shared" si="2"/>
        <v>2.8597421769057794E-2</v>
      </c>
      <c r="P18" s="3">
        <f>ROUND(+L18*1.0286,0)</f>
        <v>179769</v>
      </c>
      <c r="Q18" s="1521"/>
      <c r="S18" s="130"/>
      <c r="T18" s="3"/>
      <c r="U18" s="430"/>
      <c r="W18" s="130"/>
      <c r="X18" s="3"/>
      <c r="Y18" s="430"/>
      <c r="AA18" s="130"/>
      <c r="AB18" s="3"/>
      <c r="AC18" s="430"/>
    </row>
    <row r="19" spans="2:29" x14ac:dyDescent="0.25">
      <c r="B19" s="1384" t="s">
        <v>473</v>
      </c>
      <c r="C19" s="1249" t="s">
        <v>478</v>
      </c>
      <c r="D19" s="2">
        <f>882996-D15</f>
        <v>75996</v>
      </c>
      <c r="E19" s="1372"/>
      <c r="G19" s="1527">
        <f t="shared" si="0"/>
        <v>-0.47365650823727562</v>
      </c>
      <c r="H19" s="398">
        <v>40000</v>
      </c>
      <c r="I19" s="1372"/>
      <c r="J19" s="61"/>
      <c r="K19" s="1527">
        <f t="shared" si="1"/>
        <v>2.1499999999999998E-2</v>
      </c>
      <c r="L19" s="494">
        <f>+H19*(1+M19)</f>
        <v>40860</v>
      </c>
      <c r="M19" s="1523">
        <v>2.1499999999999998E-2</v>
      </c>
      <c r="N19" s="492"/>
      <c r="O19" s="1537">
        <f t="shared" ref="O19:O22" si="3">IF(L19=0,"0.00%",(P19-L19)/L19)</f>
        <v>2.3500000000000156E-2</v>
      </c>
      <c r="P19" s="494">
        <f>+L19*(1+Q19)</f>
        <v>41820.210000000006</v>
      </c>
      <c r="Q19" s="1523">
        <v>2.35E-2</v>
      </c>
      <c r="S19" s="130"/>
      <c r="T19" s="3"/>
      <c r="U19" s="430"/>
      <c r="W19" s="130"/>
      <c r="X19" s="3"/>
      <c r="Y19" s="430"/>
      <c r="AA19" s="130"/>
      <c r="AB19" s="3"/>
      <c r="AC19" s="430"/>
    </row>
    <row r="20" spans="2:29" ht="18.75" customHeight="1" x14ac:dyDescent="0.25">
      <c r="B20" s="1381">
        <v>8650</v>
      </c>
      <c r="C20" s="1249" t="s">
        <v>464</v>
      </c>
      <c r="D20" s="2">
        <v>15000</v>
      </c>
      <c r="E20" s="1372"/>
      <c r="G20" s="1527">
        <f t="shared" si="0"/>
        <v>-0.33333333333333331</v>
      </c>
      <c r="H20" s="3">
        <v>10000</v>
      </c>
      <c r="I20" s="1372"/>
      <c r="J20" s="61"/>
      <c r="K20" s="1527">
        <f t="shared" si="1"/>
        <v>2.1499999999999998E-2</v>
      </c>
      <c r="L20" s="494">
        <f>+H20*(1+M20)</f>
        <v>10215</v>
      </c>
      <c r="M20" s="1523">
        <v>2.1499999999999998E-2</v>
      </c>
      <c r="N20" s="492"/>
      <c r="O20" s="1537">
        <f t="shared" si="3"/>
        <v>2.3500000000000156E-2</v>
      </c>
      <c r="P20" s="494">
        <f>+L20*(1+Q20)</f>
        <v>10455.052500000002</v>
      </c>
      <c r="Q20" s="1523">
        <v>2.35E-2</v>
      </c>
      <c r="S20" s="130"/>
      <c r="T20" s="3"/>
      <c r="U20" s="430"/>
      <c r="W20" s="130"/>
      <c r="X20" s="3"/>
      <c r="Y20" s="430"/>
      <c r="AA20" s="130"/>
      <c r="AB20" s="3"/>
      <c r="AC20" s="430"/>
    </row>
    <row r="21" spans="2:29" x14ac:dyDescent="0.25">
      <c r="B21" s="1381">
        <v>8660</v>
      </c>
      <c r="C21" s="1249" t="s">
        <v>465</v>
      </c>
      <c r="D21" s="2">
        <v>137897</v>
      </c>
      <c r="E21" s="1372"/>
      <c r="G21" s="1527">
        <f t="shared" si="0"/>
        <v>0.30532208822526957</v>
      </c>
      <c r="H21" s="3">
        <v>180000</v>
      </c>
      <c r="I21" s="1339"/>
      <c r="J21" s="61"/>
      <c r="K21" s="1527">
        <f t="shared" si="1"/>
        <v>2.1499999999999998E-2</v>
      </c>
      <c r="L21" s="494">
        <f>+H21*(1+M21)</f>
        <v>183870</v>
      </c>
      <c r="M21" s="1523">
        <v>2.1499999999999998E-2</v>
      </c>
      <c r="N21" s="492"/>
      <c r="O21" s="1537">
        <f t="shared" si="3"/>
        <v>2.3500000000000038E-2</v>
      </c>
      <c r="P21" s="494">
        <f>+L21*(1+Q21)</f>
        <v>188190.94500000001</v>
      </c>
      <c r="Q21" s="1523">
        <v>2.35E-2</v>
      </c>
      <c r="S21" s="130"/>
      <c r="T21" s="3"/>
      <c r="U21" s="430"/>
      <c r="W21" s="130"/>
      <c r="X21" s="3"/>
      <c r="Y21" s="430"/>
      <c r="AA21" s="130"/>
      <c r="AB21" s="3"/>
      <c r="AC21" s="430"/>
    </row>
    <row r="22" spans="2:29" x14ac:dyDescent="0.25">
      <c r="B22" s="1381">
        <v>8677</v>
      </c>
      <c r="C22" s="1249" t="s">
        <v>466</v>
      </c>
      <c r="D22" s="2">
        <v>18000</v>
      </c>
      <c r="E22" s="1372"/>
      <c r="G22" s="1527">
        <f t="shared" si="0"/>
        <v>0</v>
      </c>
      <c r="H22" s="3">
        <f>+D22</f>
        <v>18000</v>
      </c>
      <c r="I22" s="1372"/>
      <c r="J22" s="61"/>
      <c r="K22" s="1527">
        <f t="shared" si="1"/>
        <v>2.1499999999999998E-2</v>
      </c>
      <c r="L22" s="494">
        <f>+H22*(1+M22)</f>
        <v>18387</v>
      </c>
      <c r="M22" s="1523">
        <v>2.1499999999999998E-2</v>
      </c>
      <c r="N22" s="492"/>
      <c r="O22" s="1537">
        <f t="shared" si="3"/>
        <v>2.3500000000000156E-2</v>
      </c>
      <c r="P22" s="494">
        <f>+L22*(1+Q22)</f>
        <v>18819.094500000003</v>
      </c>
      <c r="Q22" s="1523">
        <v>2.35E-2</v>
      </c>
      <c r="S22" s="130"/>
      <c r="T22" s="3"/>
      <c r="U22" s="430"/>
      <c r="W22" s="130"/>
      <c r="X22" s="3"/>
      <c r="Y22" s="430"/>
      <c r="AA22" s="130"/>
      <c r="AB22" s="3"/>
      <c r="AC22" s="430"/>
    </row>
    <row r="23" spans="2:29" x14ac:dyDescent="0.25">
      <c r="B23" s="1381" t="s">
        <v>463</v>
      </c>
      <c r="C23" s="1249" t="s">
        <v>363</v>
      </c>
      <c r="D23" s="2">
        <f>1000+6632</f>
        <v>7632</v>
      </c>
      <c r="E23" s="1372"/>
      <c r="G23" s="1527">
        <f t="shared" si="0"/>
        <v>1.0964360587002095</v>
      </c>
      <c r="H23" s="3">
        <v>16000</v>
      </c>
      <c r="I23" s="1372" t="s">
        <v>927</v>
      </c>
      <c r="J23" s="61"/>
      <c r="K23" s="1527">
        <f t="shared" si="1"/>
        <v>2.1500000000000113E-2</v>
      </c>
      <c r="L23" s="494">
        <f>+H23*(1+M23)</f>
        <v>16344.000000000002</v>
      </c>
      <c r="M23" s="1523">
        <v>2.1499999999999998E-2</v>
      </c>
      <c r="N23" s="492"/>
      <c r="O23" s="1537">
        <f t="shared" ref="O23" si="4">IF(L23=0,"0.00%",(P23-L23)/L23)</f>
        <v>2.3500000000000042E-2</v>
      </c>
      <c r="P23" s="494">
        <f>+L23*(1+Q23)</f>
        <v>16728.084000000003</v>
      </c>
      <c r="Q23" s="1523">
        <v>2.35E-2</v>
      </c>
      <c r="S23" s="130"/>
      <c r="T23" s="3"/>
      <c r="U23" s="430"/>
      <c r="W23" s="130"/>
      <c r="X23" s="3"/>
      <c r="Y23" s="430"/>
      <c r="AA23" s="130"/>
      <c r="AB23" s="3"/>
      <c r="AC23" s="430"/>
    </row>
    <row r="24" spans="2:29" ht="21.95" customHeight="1" x14ac:dyDescent="0.25">
      <c r="B24" s="1381" t="s">
        <v>468</v>
      </c>
      <c r="C24" s="1249" t="s">
        <v>470</v>
      </c>
      <c r="D24" s="2">
        <v>-11322089</v>
      </c>
      <c r="E24" s="1372"/>
      <c r="G24" s="1527">
        <f t="shared" si="0"/>
        <v>9.1009971746380022E-2</v>
      </c>
      <c r="H24" s="2">
        <f>-'RS 6500'!H12</f>
        <v>-12352512</v>
      </c>
      <c r="I24" s="1372"/>
      <c r="J24" s="61"/>
      <c r="K24" s="1527">
        <f t="shared" si="1"/>
        <v>2.8487242109135374E-2</v>
      </c>
      <c r="L24" s="2">
        <f>-'RS 6500'!L12</f>
        <v>-12704401</v>
      </c>
      <c r="M24" s="1521"/>
      <c r="O24" s="1527">
        <f t="shared" si="2"/>
        <v>3.4210664477608982E-2</v>
      </c>
      <c r="P24" s="2">
        <f>-'RS 6500'!P12</f>
        <v>-13139027</v>
      </c>
      <c r="Q24" s="1521"/>
      <c r="S24" s="130"/>
      <c r="T24" s="3"/>
      <c r="U24" s="430"/>
      <c r="W24" s="130"/>
      <c r="X24" s="3"/>
      <c r="Y24" s="430"/>
      <c r="AA24" s="130"/>
      <c r="AB24" s="3"/>
      <c r="AC24" s="430"/>
    </row>
    <row r="25" spans="2:29" x14ac:dyDescent="0.25">
      <c r="B25" s="1381" t="s">
        <v>469</v>
      </c>
      <c r="C25" s="1249" t="s">
        <v>471</v>
      </c>
      <c r="D25" s="2">
        <f>-'RS 8150'!D11</f>
        <v>-2510809</v>
      </c>
      <c r="E25" s="1372"/>
      <c r="G25" s="1527">
        <f t="shared" si="0"/>
        <v>3.9026863453173855E-2</v>
      </c>
      <c r="H25" s="2">
        <f>-'RS 8150'!H11</f>
        <v>-2608798</v>
      </c>
      <c r="I25" s="1372"/>
      <c r="J25" s="61"/>
      <c r="K25" s="1527">
        <f t="shared" si="1"/>
        <v>-7.5894339078763473E-2</v>
      </c>
      <c r="L25" s="2">
        <f>-'RS 8150'!L11</f>
        <v>-2410805</v>
      </c>
      <c r="M25" s="1521"/>
      <c r="O25" s="1527">
        <f t="shared" si="2"/>
        <v>2.8724845020646629E-2</v>
      </c>
      <c r="P25" s="2">
        <f>-'RS 8150'!P11</f>
        <v>-2480055</v>
      </c>
      <c r="Q25" s="1521"/>
      <c r="S25" s="130">
        <f>IF(P25=0,"0.00%",(T25-P25)/P25)</f>
        <v>-1</v>
      </c>
      <c r="T25" s="3">
        <f>-P2</f>
        <v>0</v>
      </c>
      <c r="U25" s="430"/>
      <c r="W25" s="130" t="str">
        <f>IF(T25=0,"0.00%",(X25-T25)/T25)</f>
        <v>0.00%</v>
      </c>
      <c r="X25" s="3">
        <f>-T2</f>
        <v>0</v>
      </c>
      <c r="Y25" s="430"/>
      <c r="AA25" s="130" t="str">
        <f>IF(X25=0,"0.00%",(AB25-X25)/X25)</f>
        <v>0.00%</v>
      </c>
      <c r="AB25" s="3">
        <f>-X2</f>
        <v>0</v>
      </c>
      <c r="AC25" s="430"/>
    </row>
    <row r="26" spans="2:29" x14ac:dyDescent="0.25">
      <c r="B26" s="1381" t="s">
        <v>467</v>
      </c>
      <c r="C26" s="1249" t="s">
        <v>472</v>
      </c>
      <c r="D26" s="2">
        <f>-'RS 9225'!D11</f>
        <v>-1961318</v>
      </c>
      <c r="E26" s="1372"/>
      <c r="G26" s="1527">
        <f t="shared" si="0"/>
        <v>-0.84704163220854545</v>
      </c>
      <c r="H26" s="2">
        <f>-'RS 9225'!H11</f>
        <v>-300000</v>
      </c>
      <c r="I26" s="1372"/>
      <c r="J26" s="61"/>
      <c r="K26" s="1527">
        <f t="shared" si="1"/>
        <v>-1</v>
      </c>
      <c r="L26" s="2">
        <f>-'RS 9225'!L11</f>
        <v>0</v>
      </c>
      <c r="M26" s="1521"/>
      <c r="O26" s="1527" t="str">
        <f>IF(L26=0,"0%",(P26-L26)/L26)</f>
        <v>0%</v>
      </c>
      <c r="P26" s="2">
        <f>-'RS 9225'!P11</f>
        <v>0</v>
      </c>
      <c r="Q26" s="1521"/>
      <c r="S26" s="130"/>
      <c r="T26" s="3"/>
      <c r="U26" s="430"/>
      <c r="W26" s="130"/>
      <c r="X26" s="3"/>
      <c r="Y26" s="430"/>
      <c r="AA26" s="130"/>
      <c r="AB26" s="3"/>
      <c r="AC26" s="430"/>
    </row>
    <row r="27" spans="2:29" x14ac:dyDescent="0.25">
      <c r="B27" s="1384" t="s">
        <v>694</v>
      </c>
      <c r="C27" s="1249" t="s">
        <v>695</v>
      </c>
      <c r="D27" s="2">
        <v>-807000</v>
      </c>
      <c r="E27" s="1372"/>
      <c r="G27" s="1527">
        <f t="shared" si="0"/>
        <v>-1</v>
      </c>
      <c r="H27" s="2">
        <v>0</v>
      </c>
      <c r="I27" s="1372"/>
      <c r="J27" s="61"/>
      <c r="K27" s="1527" t="str">
        <f>IF(H27=0,"0%",(L27-H27)/H27)</f>
        <v>0%</v>
      </c>
      <c r="L27" s="2">
        <v>0</v>
      </c>
      <c r="M27" s="1521"/>
      <c r="O27" s="1527" t="str">
        <f t="shared" ref="O27:O28" si="5">IF(L27=0,"0%",(P27-L27)/L27)</f>
        <v>0%</v>
      </c>
      <c r="P27" s="2">
        <v>0</v>
      </c>
      <c r="Q27" s="1521"/>
      <c r="S27" s="130"/>
      <c r="T27" s="3"/>
      <c r="U27" s="430"/>
      <c r="W27" s="130"/>
      <c r="X27" s="3"/>
      <c r="Y27" s="430"/>
      <c r="AA27" s="130"/>
      <c r="AB27" s="3"/>
      <c r="AC27" s="430"/>
    </row>
    <row r="28" spans="2:29" x14ac:dyDescent="0.25">
      <c r="B28" s="1381"/>
      <c r="E28" s="1372"/>
      <c r="G28" s="1527" t="str">
        <f>IF(D28=0,"0%",(H28-D28)/D28)</f>
        <v>0%</v>
      </c>
      <c r="H28" s="3"/>
      <c r="I28" s="1372"/>
      <c r="J28" s="61"/>
      <c r="K28" s="1527" t="str">
        <f>IF(H28=0,"0%",(L28-H28)/H28)</f>
        <v>0%</v>
      </c>
      <c r="L28" s="3"/>
      <c r="M28" s="1521"/>
      <c r="O28" s="1527" t="str">
        <f t="shared" si="5"/>
        <v>0%</v>
      </c>
      <c r="P28" s="3"/>
      <c r="Q28" s="1521"/>
      <c r="S28" s="130"/>
      <c r="T28" s="3"/>
      <c r="U28" s="430"/>
      <c r="W28" s="130"/>
      <c r="X28" s="3"/>
      <c r="Y28" s="430"/>
      <c r="AA28" s="130"/>
      <c r="AB28" s="3"/>
      <c r="AC28" s="430"/>
    </row>
    <row r="29" spans="2:29" x14ac:dyDescent="0.25">
      <c r="B29" s="1380" t="s">
        <v>137</v>
      </c>
      <c r="D29" s="8">
        <f>SUM(D9:D28)</f>
        <v>45392880.469999999</v>
      </c>
      <c r="E29" s="1372"/>
      <c r="G29" s="1527">
        <f t="shared" ref="G29:G33" si="6">IF(D29=0,"0.00%",(H29-D29)/D29)</f>
        <v>-4.4369787710015283E-2</v>
      </c>
      <c r="H29" s="8">
        <f>SUM(H9:H28)</f>
        <v>43378808</v>
      </c>
      <c r="I29" s="1372"/>
      <c r="J29" s="61"/>
      <c r="K29" s="1527">
        <f t="shared" si="1"/>
        <v>4.2190435396472797E-2</v>
      </c>
      <c r="L29" s="8">
        <f>SUM(L9:L28)</f>
        <v>45208978.796499997</v>
      </c>
      <c r="M29" s="1882">
        <f>+L29-H29</f>
        <v>1830170.7964999974</v>
      </c>
      <c r="O29" s="1527">
        <f t="shared" si="2"/>
        <v>2.2858577504470352E-2</v>
      </c>
      <c r="P29" s="8">
        <f>SUM(P9:P28)</f>
        <v>46242391.742217749</v>
      </c>
      <c r="Q29" s="1882">
        <f>+P29-L29</f>
        <v>1033412.945717752</v>
      </c>
      <c r="S29" s="130">
        <f>IF(P29=0,"0.00%",(T29-P29)/P29)</f>
        <v>-1</v>
      </c>
      <c r="T29" s="8">
        <f>SUM(T9:T25)</f>
        <v>0</v>
      </c>
      <c r="U29" s="430"/>
      <c r="W29" s="130" t="str">
        <f>IF(T29=0,"0.00%",(X29-T29)/T29)</f>
        <v>0.00%</v>
      </c>
      <c r="X29" s="8">
        <f>SUM(X9:X25)</f>
        <v>0</v>
      </c>
      <c r="Y29" s="430"/>
      <c r="AA29" s="130" t="str">
        <f>IF(X29=0,"0.00%",(AB29-X29)/X29)</f>
        <v>0.00%</v>
      </c>
      <c r="AB29" s="8">
        <f>SUM(AB9:AB25)</f>
        <v>0</v>
      </c>
      <c r="AC29" s="430"/>
    </row>
    <row r="30" spans="2:29" x14ac:dyDescent="0.25">
      <c r="E30" s="1372"/>
      <c r="H30" s="3">
        <f>+H29-43378808</f>
        <v>0</v>
      </c>
      <c r="I30" s="1372"/>
      <c r="J30" s="61"/>
      <c r="K30" s="1399"/>
      <c r="L30" s="3"/>
      <c r="M30" s="1521"/>
      <c r="O30" s="1399"/>
      <c r="P30" s="3"/>
      <c r="Q30" s="1521"/>
      <c r="S30" s="131"/>
      <c r="T30" s="3"/>
      <c r="U30" s="430"/>
      <c r="W30" s="131"/>
      <c r="X30" s="3"/>
      <c r="Y30" s="430"/>
      <c r="AA30" s="131"/>
      <c r="AB30" s="3"/>
      <c r="AC30" s="430"/>
    </row>
    <row r="31" spans="2:29" x14ac:dyDescent="0.25">
      <c r="B31" s="52"/>
      <c r="C31" s="1247" t="s">
        <v>64</v>
      </c>
      <c r="D31" s="9">
        <f>ROUND(D29-(D29/(1+E31)),0)</f>
        <v>0</v>
      </c>
      <c r="E31" s="1413">
        <v>0</v>
      </c>
      <c r="G31" s="1527" t="str">
        <f t="shared" si="6"/>
        <v>0.00%</v>
      </c>
      <c r="H31" s="9">
        <f>ROUND(H29-(H29/(1+B31)),0)</f>
        <v>0</v>
      </c>
      <c r="I31" s="1372"/>
      <c r="J31" s="61"/>
      <c r="K31" s="1527" t="str">
        <f>IF(H31=0,"0.00%",(L31-H31)/H31)</f>
        <v>0.00%</v>
      </c>
      <c r="L31" s="9">
        <f>ROUND(L29-(L29/(1+B31)),0)</f>
        <v>0</v>
      </c>
      <c r="M31" s="1521"/>
      <c r="O31" s="1527" t="str">
        <f>IF(L31=0,"0.00%",(P31-L31)/L31)</f>
        <v>0.00%</v>
      </c>
      <c r="P31" s="9">
        <f>ROUND(P29-(P29/(1+B31)),0)</f>
        <v>0</v>
      </c>
      <c r="Q31" s="1521"/>
      <c r="S31" s="130" t="str">
        <f>IF(P31=0,"0.00%",(T31-P31)/P31)</f>
        <v>0.00%</v>
      </c>
      <c r="T31" s="9">
        <f>ROUND(T29-(T29/(1+B31)),0)</f>
        <v>0</v>
      </c>
      <c r="U31" s="430"/>
      <c r="W31" s="130" t="str">
        <f>IF(T31=0,"0.00%",(X31-T31)/T31)</f>
        <v>0.00%</v>
      </c>
      <c r="X31" s="9">
        <f>ROUND(X29-(X29/(1+B31)),0)</f>
        <v>0</v>
      </c>
      <c r="Y31" s="430"/>
      <c r="AA31" s="130" t="str">
        <f>IF(X31=0,"0.00%",(AB31-X31)/X31)</f>
        <v>0.00%</v>
      </c>
      <c r="AB31" s="9">
        <f>ROUND(AB29-(AB29/(1+G31)),0)</f>
        <v>0</v>
      </c>
      <c r="AC31" s="430"/>
    </row>
    <row r="32" spans="2:29" x14ac:dyDescent="0.25">
      <c r="E32" s="1372"/>
      <c r="H32" s="3"/>
      <c r="I32" s="1372"/>
      <c r="J32" s="61"/>
      <c r="K32" s="1399"/>
      <c r="L32" s="3"/>
      <c r="M32" s="1521"/>
      <c r="O32" s="1399"/>
      <c r="P32" s="3"/>
      <c r="Q32" s="1521"/>
      <c r="S32" s="131"/>
      <c r="T32" s="3"/>
      <c r="U32" s="430"/>
      <c r="W32" s="131"/>
      <c r="X32" s="3"/>
      <c r="Y32" s="430"/>
      <c r="AA32" s="131"/>
      <c r="AB32" s="3"/>
      <c r="AC32" s="430"/>
    </row>
    <row r="33" spans="1:29" x14ac:dyDescent="0.25">
      <c r="B33" s="1380" t="s">
        <v>50</v>
      </c>
      <c r="D33" s="10">
        <f>D29-D31+D7</f>
        <v>54150227.850000001</v>
      </c>
      <c r="E33" s="1372"/>
      <c r="G33" s="1527">
        <f t="shared" si="6"/>
        <v>-7.1960975506772468E-2</v>
      </c>
      <c r="H33" s="10">
        <f>H29-H31+H7</f>
        <v>50253524.630000003</v>
      </c>
      <c r="I33" s="1882">
        <f>+H33-D33</f>
        <v>-3896703.2199999988</v>
      </c>
      <c r="J33" s="61"/>
      <c r="K33" s="1527">
        <f>IF(H33=0,"0.00%",(L33-H33)/H33)</f>
        <v>-6.6523059389635542E-2</v>
      </c>
      <c r="L33" s="10">
        <f>L29-L31+L7</f>
        <v>46910506.4265</v>
      </c>
      <c r="M33" s="1882">
        <f>+L33-H33</f>
        <v>-3343018.2035000026</v>
      </c>
      <c r="O33" s="1527">
        <f>IF(L33=0,"0.00%",(P33-L33)/L33)</f>
        <v>-3.9214099311941704E-2</v>
      </c>
      <c r="P33" s="10">
        <f>P29-P31+P7</f>
        <v>45070953.168717749</v>
      </c>
      <c r="Q33" s="1882">
        <f>+P33-L33</f>
        <v>-1839553.2577822506</v>
      </c>
      <c r="S33" s="130">
        <f>IF(P33=0,"0.00%",(T33-P33)/P33)</f>
        <v>-1</v>
      </c>
      <c r="T33" s="9">
        <f>T29-T31</f>
        <v>0</v>
      </c>
      <c r="U33" s="430"/>
      <c r="W33" s="130" t="str">
        <f>IF(T33=0,"0.00%",(X33-T33)/T33)</f>
        <v>0.00%</v>
      </c>
      <c r="X33" s="9">
        <f>X29-X31</f>
        <v>0</v>
      </c>
      <c r="Y33" s="430"/>
      <c r="AA33" s="130" t="str">
        <f>IF(X33=0,"0.00%",(AB33-X33)/X33)</f>
        <v>0.00%</v>
      </c>
      <c r="AB33" s="9">
        <f>AB29-AB31</f>
        <v>0</v>
      </c>
      <c r="AC33" s="430"/>
    </row>
    <row r="34" spans="1:29" x14ac:dyDescent="0.25">
      <c r="E34" s="1372"/>
      <c r="H34" s="3"/>
      <c r="I34" s="1372"/>
      <c r="J34" s="61"/>
      <c r="L34" s="3"/>
      <c r="M34" s="1521"/>
      <c r="P34" s="3"/>
      <c r="Q34" s="1521"/>
      <c r="T34" s="3"/>
      <c r="U34" s="430"/>
      <c r="X34" s="3"/>
      <c r="Y34" s="430"/>
      <c r="AB34" s="3"/>
      <c r="AC34" s="430"/>
    </row>
    <row r="35" spans="1:29" x14ac:dyDescent="0.25">
      <c r="C35" s="1374"/>
      <c r="E35" s="1372"/>
      <c r="H35" s="3"/>
      <c r="I35" s="1372"/>
      <c r="J35" s="61"/>
      <c r="L35" s="3"/>
      <c r="M35" s="1521"/>
      <c r="P35" s="3"/>
      <c r="Q35" s="1521"/>
      <c r="T35" s="3"/>
      <c r="U35" s="430"/>
      <c r="X35" s="3"/>
      <c r="Y35" s="430"/>
      <c r="AB35" s="3"/>
      <c r="AC35" s="430"/>
    </row>
    <row r="36" spans="1:29" x14ac:dyDescent="0.25">
      <c r="A36" s="32"/>
      <c r="D36" s="29" t="s">
        <v>874</v>
      </c>
      <c r="E36" s="1316"/>
      <c r="F36" s="32"/>
      <c r="H36" s="29" t="s">
        <v>177</v>
      </c>
      <c r="I36" s="1316"/>
      <c r="J36" s="29"/>
      <c r="M36" s="1316"/>
      <c r="Q36" s="1316"/>
      <c r="U36" s="106"/>
      <c r="Y36" s="106"/>
      <c r="AC36" s="106"/>
    </row>
    <row r="37" spans="1:29" ht="17.25" x14ac:dyDescent="0.4">
      <c r="A37" s="79"/>
      <c r="D37" s="35" t="s">
        <v>875</v>
      </c>
      <c r="E37" s="1246"/>
      <c r="F37" s="34"/>
      <c r="H37" s="35" t="s">
        <v>48</v>
      </c>
      <c r="I37" s="1526"/>
      <c r="J37" s="29"/>
      <c r="L37" s="14" t="s">
        <v>48</v>
      </c>
      <c r="M37" s="1526">
        <v>1.4999999999999999E-2</v>
      </c>
      <c r="P37" s="14" t="s">
        <v>48</v>
      </c>
      <c r="Q37" s="1526">
        <v>1.4999999999999999E-2</v>
      </c>
      <c r="T37" s="14" t="s">
        <v>48</v>
      </c>
      <c r="U37" s="127">
        <v>0.02</v>
      </c>
      <c r="X37" s="14" t="s">
        <v>48</v>
      </c>
      <c r="Y37" s="127">
        <v>0.02</v>
      </c>
      <c r="AB37" s="14" t="s">
        <v>48</v>
      </c>
      <c r="AC37" s="127">
        <v>0.02</v>
      </c>
    </row>
    <row r="38" spans="1:29" s="10" customFormat="1" x14ac:dyDescent="0.25">
      <c r="A38" s="57"/>
      <c r="B38" s="1380" t="s">
        <v>46</v>
      </c>
      <c r="C38" s="1247"/>
      <c r="E38" s="1247"/>
      <c r="G38" s="1538"/>
      <c r="I38" s="1250"/>
      <c r="J38" s="57"/>
      <c r="K38" s="1570"/>
      <c r="M38" s="1393"/>
      <c r="O38" s="1570"/>
      <c r="Q38" s="1393"/>
      <c r="R38" s="431"/>
      <c r="U38" s="128"/>
      <c r="Y38" s="128"/>
      <c r="AC38" s="128"/>
    </row>
    <row r="39" spans="1:29" x14ac:dyDescent="0.25">
      <c r="A39" s="1414"/>
      <c r="B39" s="1416" t="s">
        <v>829</v>
      </c>
      <c r="C39" s="1418" t="s">
        <v>843</v>
      </c>
      <c r="D39" s="1417">
        <v>24444146</v>
      </c>
      <c r="G39" s="1527">
        <f t="shared" ref="G39:G64" si="7">IF(D39=0,"0.00%",(H39-D39)/D39)</f>
        <v>-7.6664572368369914E-5</v>
      </c>
      <c r="H39" s="2">
        <v>24442272</v>
      </c>
      <c r="K39" s="1527">
        <f t="shared" ref="K39:K52" si="8">IF(H39=0,"0.00%",(L39-H39)/H39)</f>
        <v>1.4999996726981846E-2</v>
      </c>
      <c r="L39" s="2">
        <f>ROUND(H39*(1+M37),0)</f>
        <v>24808906</v>
      </c>
      <c r="M39" s="1518" t="str">
        <f>TEXT(M37,"0.0%")&amp;" = Est. S &amp; C"</f>
        <v>1.5% = Est. S &amp; C</v>
      </c>
      <c r="O39" s="1527">
        <f t="shared" ref="O39:O52" si="9">IF(L39=0,"0.00%",(P39-L39)/L39)</f>
        <v>1.5000016526323249E-2</v>
      </c>
      <c r="P39" s="2">
        <f>ROUND(L39*(1+Q37),0)</f>
        <v>25181040</v>
      </c>
      <c r="Q39" s="1518" t="str">
        <f>TEXT(Q37,"0.0%")&amp;" = Est. S &amp; C"</f>
        <v>1.5% = Est. S &amp; C</v>
      </c>
      <c r="S39" s="130">
        <f t="shared" ref="S39:S51" si="10">IF(P39=0,"0.00%",(T39-P39)/P39)</f>
        <v>2.0000007942483709E-2</v>
      </c>
      <c r="T39" s="2">
        <f>ROUND(P39*(1+U37),0)</f>
        <v>25684661</v>
      </c>
      <c r="U39" s="36" t="str">
        <f>TEXT(U37,"0.0%")&amp;" = Est. S &amp; C"</f>
        <v>2.0% = Est. S &amp; C</v>
      </c>
      <c r="W39" s="130">
        <f t="shared" ref="W39:W51" si="11">IF(T39=0,"0.00%",(X39-T39)/T39)</f>
        <v>1.9999991434576456E-2</v>
      </c>
      <c r="X39" s="2">
        <f>ROUND(T39*(1+Y37),0)</f>
        <v>26198354</v>
      </c>
      <c r="Y39" s="36" t="str">
        <f>TEXT(Y37,"0.0%")&amp;" = Est. S &amp; C"</f>
        <v>2.0% = Est. S &amp; C</v>
      </c>
      <c r="AA39" s="130">
        <f t="shared" ref="AA39:AA51" si="12">IF(X39=0,"0.00%",(AB39-X39)/X39)</f>
        <v>1.9999996946373041E-2</v>
      </c>
      <c r="AB39" s="2">
        <f>ROUND(X39*(1+AC37),0)</f>
        <v>26722321</v>
      </c>
      <c r="AC39" s="36" t="str">
        <f>TEXT(AC37,"0.0%")&amp;" = Est. S &amp; C"</f>
        <v>2.0% = Est. S &amp; C</v>
      </c>
    </row>
    <row r="40" spans="1:29" x14ac:dyDescent="0.25">
      <c r="A40" s="1414"/>
      <c r="B40" s="1416"/>
      <c r="C40" s="1418"/>
      <c r="D40" s="1417"/>
      <c r="G40" s="1527"/>
      <c r="H40" s="2"/>
      <c r="K40" s="1527"/>
      <c r="L40" s="2">
        <v>-438532</v>
      </c>
      <c r="M40" s="1518" t="s">
        <v>951</v>
      </c>
      <c r="O40" s="1527"/>
      <c r="P40" s="2">
        <f>L40</f>
        <v>-438532</v>
      </c>
      <c r="Q40" s="1518"/>
      <c r="S40" s="130"/>
      <c r="U40" s="36"/>
      <c r="W40" s="130"/>
      <c r="Y40" s="36"/>
      <c r="AA40" s="130"/>
      <c r="AC40" s="36"/>
    </row>
    <row r="41" spans="1:29" x14ac:dyDescent="0.25">
      <c r="A41" s="1414"/>
      <c r="B41" s="1416" t="s">
        <v>830</v>
      </c>
      <c r="C41" s="1418" t="s">
        <v>416</v>
      </c>
      <c r="D41" s="1417">
        <v>217104</v>
      </c>
      <c r="G41" s="1527">
        <f t="shared" si="7"/>
        <v>1.1188186307023363E-2</v>
      </c>
      <c r="H41" s="2">
        <v>219533</v>
      </c>
      <c r="K41" s="1527">
        <f t="shared" si="8"/>
        <v>1.5000022775619156E-2</v>
      </c>
      <c r="L41" s="2">
        <f>ROUND(H41*(1+M37),0)</f>
        <v>222826</v>
      </c>
      <c r="M41" s="1518" t="str">
        <f>TEXT(M37,"0.0%")&amp;" = Est. S &amp; C"</f>
        <v>1.5% = Est. S &amp; C</v>
      </c>
      <c r="O41" s="1527">
        <f>IF(L41=0,"0.00%",(P41-L41)/L41)</f>
        <v>1.4998249755414538E-2</v>
      </c>
      <c r="P41" s="2">
        <f>ROUND(L41*(1+Q37),0)</f>
        <v>226168</v>
      </c>
      <c r="Q41" s="1518" t="str">
        <f>TEXT(Q37,"0.0%")&amp;" = Est. S &amp; C"</f>
        <v>1.5% = Est. S &amp; C</v>
      </c>
      <c r="S41" s="130">
        <f t="shared" si="10"/>
        <v>1.9998408262884227E-2</v>
      </c>
      <c r="T41" s="2">
        <f>ROUND(P41*(1+U37),0)</f>
        <v>230691</v>
      </c>
      <c r="U41" s="36" t="str">
        <f>TEXT(U37,"0.0%")&amp;" = Est. S &amp; C"</f>
        <v>2.0% = Est. S &amp; C</v>
      </c>
      <c r="W41" s="130">
        <f t="shared" si="11"/>
        <v>2.000078026450967E-2</v>
      </c>
      <c r="X41" s="2">
        <f>ROUND(T41*(1+Y37),0)</f>
        <v>235305</v>
      </c>
      <c r="Y41" s="36" t="str">
        <f>TEXT(Y37,"0.0%")&amp;" = Est. S &amp; C"</f>
        <v>2.0% = Est. S &amp; C</v>
      </c>
      <c r="AA41" s="130">
        <f t="shared" si="12"/>
        <v>1.9999575019655342E-2</v>
      </c>
      <c r="AB41" s="2">
        <f>ROUND(X41*(1+AC37),0)</f>
        <v>240011</v>
      </c>
      <c r="AC41" s="36" t="str">
        <f>TEXT(AC37,"0.0%")&amp;" = Est. S &amp; C"</f>
        <v>2.0% = Est. S &amp; C</v>
      </c>
    </row>
    <row r="42" spans="1:29" x14ac:dyDescent="0.25">
      <c r="A42" s="1414"/>
      <c r="B42" s="1416" t="s">
        <v>831</v>
      </c>
      <c r="C42" s="1418" t="s">
        <v>844</v>
      </c>
      <c r="D42" s="1417">
        <v>264135</v>
      </c>
      <c r="G42" s="1527">
        <f t="shared" si="7"/>
        <v>4.8672080564862663E-2</v>
      </c>
      <c r="H42" s="2">
        <v>276991</v>
      </c>
      <c r="K42" s="1527">
        <f t="shared" si="8"/>
        <v>1.5000487380456404E-2</v>
      </c>
      <c r="L42" s="2">
        <f>ROUND(H42*(1+M37),0)</f>
        <v>281146</v>
      </c>
      <c r="M42" s="1518" t="str">
        <f>TEXT(M37,"0.0%")&amp;" = Est. S &amp; C"</f>
        <v>1.5% = Est. S &amp; C</v>
      </c>
      <c r="O42" s="1527">
        <f t="shared" si="9"/>
        <v>1.4999324194546606E-2</v>
      </c>
      <c r="P42" s="2">
        <f>ROUND(L42*(1+Q37),0)</f>
        <v>285363</v>
      </c>
      <c r="Q42" s="1518" t="str">
        <f>TEXT(Q37,"0.0%")&amp;" = Est. S &amp; C"</f>
        <v>1.5% = Est. S &amp; C</v>
      </c>
      <c r="S42" s="130">
        <f t="shared" si="10"/>
        <v>1.9999088879777686E-2</v>
      </c>
      <c r="T42" s="2">
        <f>ROUND(P42*(1+U37),0)</f>
        <v>291070</v>
      </c>
      <c r="U42" s="36" t="str">
        <f>TEXT(U37,"0.0%")&amp;" = Est. S &amp; C"</f>
        <v>2.0% = Est. S &amp; C</v>
      </c>
      <c r="W42" s="130">
        <f t="shared" si="11"/>
        <v>1.999862576012643E-2</v>
      </c>
      <c r="X42" s="2">
        <f>ROUND(T42*(1+Y37),0)</f>
        <v>296891</v>
      </c>
      <c r="Y42" s="36" t="str">
        <f>TEXT(Y37,"0.0%")&amp;" = Est. S &amp; C"</f>
        <v>2.0% = Est. S &amp; C</v>
      </c>
      <c r="AA42" s="130">
        <f t="shared" si="12"/>
        <v>2.0000606283114005E-2</v>
      </c>
      <c r="AB42" s="2">
        <f>ROUND(X42*(1+AC37),0)</f>
        <v>302829</v>
      </c>
      <c r="AC42" s="36" t="str">
        <f>TEXT(AC37,"0.0%")&amp;" = Est. S &amp; C"</f>
        <v>2.0% = Est. S &amp; C</v>
      </c>
    </row>
    <row r="43" spans="1:29" x14ac:dyDescent="0.25">
      <c r="A43" s="1414"/>
      <c r="B43" s="1416" t="s">
        <v>45</v>
      </c>
      <c r="C43" s="1418" t="s">
        <v>845</v>
      </c>
      <c r="D43" s="1417">
        <v>1147</v>
      </c>
      <c r="G43" s="1527">
        <f t="shared" si="7"/>
        <v>-1</v>
      </c>
      <c r="H43" s="2">
        <v>0</v>
      </c>
      <c r="K43" s="1527" t="str">
        <f>IF(H43=0,"0%",(L43-H43)/H43)</f>
        <v>0%</v>
      </c>
      <c r="L43" s="2">
        <f>ROUND(H43*(1+M37),0)</f>
        <v>0</v>
      </c>
      <c r="M43" s="1518" t="str">
        <f>TEXT(M37,"0.0%")&amp;" = Est. S &amp; C"</f>
        <v>1.5% = Est. S &amp; C</v>
      </c>
      <c r="O43" s="1527" t="str">
        <f>IF(L43=0,"0%",(P43-L43)/L43)</f>
        <v>0%</v>
      </c>
      <c r="P43" s="2">
        <f>ROUND(L43*(1+Q37),0)</f>
        <v>0</v>
      </c>
      <c r="Q43" s="1518" t="str">
        <f>TEXT(Q37,"0.0%")&amp;" = Est. S &amp; C"</f>
        <v>1.5% = Est. S &amp; C</v>
      </c>
      <c r="S43" s="130" t="str">
        <f t="shared" si="10"/>
        <v>0.00%</v>
      </c>
      <c r="T43" s="2">
        <f>ROUND(P43*(1+U37),0)</f>
        <v>0</v>
      </c>
      <c r="U43" s="36" t="str">
        <f>TEXT(U37,"0.0%")&amp;" = Est. S &amp; C"</f>
        <v>2.0% = Est. S &amp; C</v>
      </c>
      <c r="W43" s="130" t="str">
        <f t="shared" si="11"/>
        <v>0.00%</v>
      </c>
      <c r="X43" s="2">
        <f>ROUND(T43*(1+Y37),0)</f>
        <v>0</v>
      </c>
      <c r="Y43" s="36" t="str">
        <f>TEXT(Y37,"0.0%")&amp;" = Est. S &amp; C"</f>
        <v>2.0% = Est. S &amp; C</v>
      </c>
      <c r="AA43" s="130" t="str">
        <f t="shared" si="12"/>
        <v>0.00%</v>
      </c>
      <c r="AB43" s="2">
        <f>ROUND(X43*(1+AC37),0)</f>
        <v>0</v>
      </c>
      <c r="AC43" s="36" t="str">
        <f>TEXT(AC37,"0.0%")&amp;" = Est. S &amp; C"</f>
        <v>2.0% = Est. S &amp; C</v>
      </c>
    </row>
    <row r="44" spans="1:29" x14ac:dyDescent="0.25">
      <c r="A44" s="1414"/>
      <c r="B44" s="1416" t="s">
        <v>489</v>
      </c>
      <c r="C44" s="1418" t="s">
        <v>846</v>
      </c>
      <c r="D44" s="1417">
        <v>32441</v>
      </c>
      <c r="G44" s="1527">
        <f t="shared" si="7"/>
        <v>7.8881662094263436E-2</v>
      </c>
      <c r="H44" s="2">
        <v>35000</v>
      </c>
      <c r="K44" s="1527">
        <f t="shared" si="8"/>
        <v>1.4999999999999999E-2</v>
      </c>
      <c r="L44" s="2">
        <f>ROUND(H44*(1+M37),0)</f>
        <v>35525</v>
      </c>
      <c r="M44" s="1518" t="str">
        <f>TEXT(M37,"0.0%")&amp;" = Est. S &amp; C"</f>
        <v>1.5% = Est. S &amp; C</v>
      </c>
      <c r="O44" s="1527">
        <f t="shared" si="9"/>
        <v>1.5003518648838846E-2</v>
      </c>
      <c r="P44" s="2">
        <f>ROUND(L44*(1+Q37),0)</f>
        <v>36058</v>
      </c>
      <c r="Q44" s="1518" t="str">
        <f>TEXT(Q37,"0.0%")&amp;" = Est. S &amp; C"</f>
        <v>1.5% = Est. S &amp; C</v>
      </c>
      <c r="S44" s="130">
        <f t="shared" si="10"/>
        <v>1.9995562704531587E-2</v>
      </c>
      <c r="T44" s="2">
        <f>ROUND(P44*(1+U37),0)</f>
        <v>36779</v>
      </c>
      <c r="U44" s="36" t="str">
        <f>TEXT(U37,"0.0%")&amp;" = Est. S &amp; C"</f>
        <v>2.0% = Est. S &amp; C</v>
      </c>
      <c r="W44" s="130">
        <f t="shared" si="11"/>
        <v>2.0011419560075044E-2</v>
      </c>
      <c r="X44" s="2">
        <f>ROUND(T44*(1+Y37),0)</f>
        <v>37515</v>
      </c>
      <c r="Y44" s="36" t="str">
        <f>TEXT(Y37,"0.0%")&amp;" = Est. S &amp; C"</f>
        <v>2.0% = Est. S &amp; C</v>
      </c>
      <c r="AA44" s="130">
        <f t="shared" si="12"/>
        <v>1.9992003198720514E-2</v>
      </c>
      <c r="AB44" s="2">
        <f>ROUND(X44*(1+AC37),0)</f>
        <v>38265</v>
      </c>
      <c r="AC44" s="36" t="str">
        <f>TEXT(AC37,"0.0%")&amp;" = Est. S &amp; C"</f>
        <v>2.0% = Est. S &amp; C</v>
      </c>
    </row>
    <row r="45" spans="1:29" x14ac:dyDescent="0.25">
      <c r="A45" s="1414"/>
      <c r="B45" s="1416" t="s">
        <v>832</v>
      </c>
      <c r="C45" s="1418" t="s">
        <v>418</v>
      </c>
      <c r="D45" s="1417">
        <v>33385</v>
      </c>
      <c r="G45" s="1527">
        <f t="shared" si="7"/>
        <v>-1</v>
      </c>
      <c r="H45" s="2">
        <v>0</v>
      </c>
      <c r="I45" s="1257" t="s">
        <v>928</v>
      </c>
      <c r="K45" s="1527" t="str">
        <f t="shared" si="8"/>
        <v>0.00%</v>
      </c>
      <c r="L45" s="2">
        <f>ROUND(H45*(1+M37),0)</f>
        <v>0</v>
      </c>
      <c r="M45" s="1518"/>
      <c r="O45" s="1527" t="str">
        <f>IF(L45=0,"0%",(P45-L45)/L45)</f>
        <v>0%</v>
      </c>
      <c r="P45" s="2">
        <f>ROUND(L45*(1+Q37),0)</f>
        <v>0</v>
      </c>
      <c r="Q45" s="1518"/>
      <c r="S45" s="130" t="str">
        <f t="shared" si="10"/>
        <v>0.00%</v>
      </c>
      <c r="T45" s="2">
        <f>ROUND(P45*(1+U37),0)</f>
        <v>0</v>
      </c>
      <c r="U45" s="36" t="str">
        <f>TEXT(U37,"0.0%")&amp;" = Est. S &amp; C"</f>
        <v>2.0% = Est. S &amp; C</v>
      </c>
      <c r="W45" s="130" t="str">
        <f t="shared" si="11"/>
        <v>0.00%</v>
      </c>
      <c r="X45" s="2">
        <f>ROUND(T45*(1+Y37),0)</f>
        <v>0</v>
      </c>
      <c r="Y45" s="36" t="str">
        <f>TEXT(Y37,"0.0%")&amp;" = Est. S &amp; C"</f>
        <v>2.0% = Est. S &amp; C</v>
      </c>
      <c r="AA45" s="130" t="str">
        <f t="shared" si="12"/>
        <v>0.00%</v>
      </c>
      <c r="AB45" s="2">
        <f>ROUND(X45*(1+AC37),0)</f>
        <v>0</v>
      </c>
      <c r="AC45" s="36" t="str">
        <f>TEXT(AC37,"0.0%")&amp;" = Est. S &amp; C"</f>
        <v>2.0% = Est. S &amp; C</v>
      </c>
    </row>
    <row r="46" spans="1:29" x14ac:dyDescent="0.25">
      <c r="A46" s="1414"/>
      <c r="B46" s="1416" t="s">
        <v>43</v>
      </c>
      <c r="C46" s="1418" t="s">
        <v>419</v>
      </c>
      <c r="D46" s="1417">
        <v>434421</v>
      </c>
      <c r="G46" s="1527">
        <f t="shared" ref="G46:G50" si="13">IF(D46=0,"0.00%",(H46-D46)/D46)</f>
        <v>9.0978566874069161E-2</v>
      </c>
      <c r="H46" s="2">
        <v>473944</v>
      </c>
      <c r="K46" s="1527">
        <f t="shared" si="8"/>
        <v>0</v>
      </c>
      <c r="L46" s="2">
        <f>+H46</f>
        <v>473944</v>
      </c>
      <c r="M46" s="1518" t="s">
        <v>174</v>
      </c>
      <c r="O46" s="1527">
        <f t="shared" ref="O46:O50" si="14">IF(L46=0,"0.00%",(P46-L46)/L46)</f>
        <v>0</v>
      </c>
      <c r="P46" s="2">
        <f>+L46</f>
        <v>473944</v>
      </c>
      <c r="Q46" s="1518" t="s">
        <v>174</v>
      </c>
      <c r="S46" s="130"/>
      <c r="U46" s="36"/>
      <c r="W46" s="130"/>
      <c r="Y46" s="36"/>
      <c r="AA46" s="130"/>
      <c r="AC46" s="36"/>
    </row>
    <row r="47" spans="1:29" x14ac:dyDescent="0.25">
      <c r="A47" s="1414"/>
      <c r="B47" s="1416" t="s">
        <v>833</v>
      </c>
      <c r="C47" s="1418" t="s">
        <v>847</v>
      </c>
      <c r="D47" s="1417">
        <v>86398</v>
      </c>
      <c r="G47" s="1527">
        <f t="shared" si="13"/>
        <v>-0.55207296465195954</v>
      </c>
      <c r="H47" s="2">
        <v>38700</v>
      </c>
      <c r="K47" s="1527">
        <f t="shared" si="8"/>
        <v>0</v>
      </c>
      <c r="L47" s="2">
        <f>+H47</f>
        <v>38700</v>
      </c>
      <c r="M47" s="1518" t="s">
        <v>174</v>
      </c>
      <c r="O47" s="1527">
        <f t="shared" si="14"/>
        <v>0</v>
      </c>
      <c r="P47" s="2">
        <f>+L47</f>
        <v>38700</v>
      </c>
      <c r="Q47" s="1518" t="s">
        <v>174</v>
      </c>
      <c r="S47" s="130"/>
      <c r="U47" s="36"/>
      <c r="W47" s="130"/>
      <c r="Y47" s="36"/>
      <c r="AA47" s="130"/>
      <c r="AC47" s="36"/>
    </row>
    <row r="48" spans="1:29" ht="4.5" customHeight="1" x14ac:dyDescent="0.25">
      <c r="A48" s="1414"/>
      <c r="B48" s="1416"/>
      <c r="C48" s="1415"/>
      <c r="D48" s="1417"/>
      <c r="G48" s="1527"/>
      <c r="H48" s="2"/>
      <c r="K48" s="1527"/>
      <c r="L48" s="2"/>
      <c r="M48" s="1518"/>
      <c r="O48" s="1527"/>
      <c r="Q48" s="1518"/>
      <c r="S48" s="130"/>
      <c r="U48" s="36"/>
      <c r="W48" s="130"/>
      <c r="Y48" s="36"/>
      <c r="AA48" s="130"/>
      <c r="AC48" s="36"/>
    </row>
    <row r="49" spans="1:29" x14ac:dyDescent="0.25">
      <c r="A49" s="1414"/>
      <c r="B49" s="1416" t="s">
        <v>490</v>
      </c>
      <c r="C49" s="1418" t="s">
        <v>493</v>
      </c>
      <c r="D49" s="1417">
        <v>87704</v>
      </c>
      <c r="G49" s="1527">
        <f t="shared" si="13"/>
        <v>3.3613062118033388E-2</v>
      </c>
      <c r="H49" s="2">
        <v>90652</v>
      </c>
      <c r="K49" s="1527">
        <f t="shared" si="8"/>
        <v>1.5002426863169042E-2</v>
      </c>
      <c r="L49" s="2">
        <f t="shared" ref="L49:L52" si="15">ROUND(H49*(1+$M$37),0)</f>
        <v>92012</v>
      </c>
      <c r="M49" s="1518" t="str">
        <f t="shared" ref="M49:M52" si="16">TEXT($M$37,"0.0%")&amp;" = Est. S &amp; C"</f>
        <v>1.5% = Est. S &amp; C</v>
      </c>
      <c r="O49" s="1527">
        <f t="shared" si="14"/>
        <v>1.4998043733426074E-2</v>
      </c>
      <c r="P49" s="2">
        <f t="shared" ref="P49:P50" si="17">ROUND(L49*(1+$Q$37),0)</f>
        <v>93392</v>
      </c>
      <c r="Q49" s="1518" t="str">
        <f t="shared" ref="Q49:Q50" si="18">TEXT($Q$37,"0.0%")&amp;" = Est. S &amp; C"</f>
        <v>1.5% = Est. S &amp; C</v>
      </c>
      <c r="S49" s="130"/>
      <c r="U49" s="36"/>
      <c r="W49" s="130"/>
      <c r="Y49" s="36"/>
      <c r="AA49" s="130"/>
      <c r="AC49" s="36"/>
    </row>
    <row r="50" spans="1:29" x14ac:dyDescent="0.25">
      <c r="A50" s="1414"/>
      <c r="B50" s="1416" t="s">
        <v>491</v>
      </c>
      <c r="C50" s="1418" t="s">
        <v>848</v>
      </c>
      <c r="D50" s="1417">
        <v>321997</v>
      </c>
      <c r="G50" s="1527">
        <f t="shared" si="13"/>
        <v>0.20918207312490489</v>
      </c>
      <c r="H50" s="2">
        <v>389353</v>
      </c>
      <c r="K50" s="1527">
        <f t="shared" si="8"/>
        <v>1.4999242332793121E-2</v>
      </c>
      <c r="L50" s="2">
        <f t="shared" si="15"/>
        <v>395193</v>
      </c>
      <c r="M50" s="1518" t="str">
        <f t="shared" si="16"/>
        <v>1.5% = Est. S &amp; C</v>
      </c>
      <c r="O50" s="1527">
        <f t="shared" si="14"/>
        <v>1.500026569296521E-2</v>
      </c>
      <c r="P50" s="2">
        <f t="shared" si="17"/>
        <v>401121</v>
      </c>
      <c r="Q50" s="1518" t="str">
        <f t="shared" si="18"/>
        <v>1.5% = Est. S &amp; C</v>
      </c>
      <c r="S50" s="130"/>
      <c r="U50" s="36"/>
      <c r="W50" s="130"/>
      <c r="Y50" s="36"/>
      <c r="AA50" s="130"/>
      <c r="AC50" s="36"/>
    </row>
    <row r="51" spans="1:29" x14ac:dyDescent="0.25">
      <c r="A51" s="1414"/>
      <c r="B51" s="1416" t="s">
        <v>41</v>
      </c>
      <c r="C51" s="1418" t="s">
        <v>40</v>
      </c>
      <c r="D51" s="1417">
        <v>237419</v>
      </c>
      <c r="G51" s="1527">
        <f t="shared" si="7"/>
        <v>-4.3383217012960211E-2</v>
      </c>
      <c r="H51" s="2">
        <v>227119</v>
      </c>
      <c r="K51" s="1527">
        <f t="shared" si="8"/>
        <v>1.5000946640307504E-2</v>
      </c>
      <c r="L51" s="2">
        <f t="shared" si="15"/>
        <v>230526</v>
      </c>
      <c r="M51" s="1518" t="str">
        <f t="shared" si="16"/>
        <v>1.5% = Est. S &amp; C</v>
      </c>
      <c r="O51" s="1527">
        <f t="shared" si="9"/>
        <v>1.5000477169603428E-2</v>
      </c>
      <c r="P51" s="2">
        <f>ROUND(L51*(1+$Q$37),0)</f>
        <v>233984</v>
      </c>
      <c r="Q51" s="1518" t="str">
        <f>TEXT($Q$37,"0.0%")&amp;" = Est. S &amp; C"</f>
        <v>1.5% = Est. S &amp; C</v>
      </c>
      <c r="S51" s="130">
        <f t="shared" si="10"/>
        <v>2.000136761487965E-2</v>
      </c>
      <c r="T51" s="2">
        <f>ROUND(P51*(1+U37),0)</f>
        <v>238664</v>
      </c>
      <c r="U51" s="36" t="str">
        <f>TEXT(U37,"0.0%")&amp;" = Est. S &amp; C"</f>
        <v>2.0% = Est. S &amp; C</v>
      </c>
      <c r="W51" s="130">
        <f t="shared" si="11"/>
        <v>1.9998826802534106E-2</v>
      </c>
      <c r="X51" s="2">
        <f>ROUND(T51*(1+Y37),0)</f>
        <v>243437</v>
      </c>
      <c r="Y51" s="36" t="str">
        <f>TEXT(Y37,"0.0%")&amp;" = Est. S &amp; C"</f>
        <v>2.0% = Est. S &amp; C</v>
      </c>
      <c r="AA51" s="130">
        <f t="shared" si="12"/>
        <v>2.0001068038137178E-2</v>
      </c>
      <c r="AB51" s="2">
        <f>ROUND(X51*(1+AC37),0)</f>
        <v>248306</v>
      </c>
      <c r="AC51" s="36" t="str">
        <f>TEXT(AC37,"0.0%")&amp;" = Est. S &amp; C"</f>
        <v>2.0% = Est. S &amp; C</v>
      </c>
    </row>
    <row r="52" spans="1:29" x14ac:dyDescent="0.25">
      <c r="A52" s="1414"/>
      <c r="B52" s="1416" t="s">
        <v>492</v>
      </c>
      <c r="C52" s="1418" t="s">
        <v>230</v>
      </c>
      <c r="D52" s="1417">
        <v>126437</v>
      </c>
      <c r="G52" s="1527">
        <f t="shared" si="7"/>
        <v>3.9584931626027192E-2</v>
      </c>
      <c r="H52" s="2">
        <v>131442</v>
      </c>
      <c r="K52" s="1527">
        <f t="shared" si="8"/>
        <v>1.5002814929778913E-2</v>
      </c>
      <c r="L52" s="2">
        <f t="shared" si="15"/>
        <v>133414</v>
      </c>
      <c r="M52" s="1518" t="str">
        <f t="shared" si="16"/>
        <v>1.5% = Est. S &amp; C</v>
      </c>
      <c r="O52" s="1527">
        <f t="shared" si="9"/>
        <v>1.4998425952298859E-2</v>
      </c>
      <c r="P52" s="2">
        <f>ROUND(L52*(1+$Q$37),0)</f>
        <v>135415</v>
      </c>
      <c r="Q52" s="1518" t="str">
        <f t="shared" ref="Q52" si="19">TEXT($Q$37,"0.0%")&amp;" = Est. S &amp; C"</f>
        <v>1.5% = Est. S &amp; C</v>
      </c>
      <c r="S52" s="130"/>
      <c r="U52" s="36"/>
      <c r="W52" s="130"/>
      <c r="Y52" s="36"/>
      <c r="AA52" s="130"/>
      <c r="AC52" s="36"/>
    </row>
    <row r="53" spans="1:29" x14ac:dyDescent="0.25">
      <c r="A53" s="1414"/>
      <c r="B53" s="1416" t="s">
        <v>834</v>
      </c>
      <c r="C53" s="1418" t="s">
        <v>849</v>
      </c>
      <c r="D53" s="1417">
        <v>1315</v>
      </c>
      <c r="G53" s="1527">
        <f>IF(D53=0,"0.00%",(H53-D53)/D53)</f>
        <v>-1</v>
      </c>
      <c r="H53" s="2">
        <v>0</v>
      </c>
      <c r="K53" s="1527" t="str">
        <f>IF(H53=0,"0%",(L53-H53)/H53)</f>
        <v>0%</v>
      </c>
      <c r="L53" s="2">
        <f t="shared" ref="L53:L61" si="20">ROUND(H53*(1+$M$37),0)</f>
        <v>0</v>
      </c>
      <c r="M53" s="1518"/>
      <c r="O53" s="1527" t="str">
        <f>IF(L53=0,"0%",(P53-L53)/L53)</f>
        <v>0%</v>
      </c>
      <c r="P53" s="2">
        <f t="shared" ref="P53" si="21">ROUND(L53*(1+$Q$37),0)</f>
        <v>0</v>
      </c>
      <c r="Q53" s="1518"/>
      <c r="S53" s="130" t="str">
        <f>IF(P53=0,"0.00%",(T53-P53)/P53)</f>
        <v>0.00%</v>
      </c>
      <c r="T53" s="2">
        <f>ROUND(P53*(1+U38),0)</f>
        <v>0</v>
      </c>
      <c r="U53" s="36" t="str">
        <f>TEXT(U38,"0.0%")&amp;" = Est. S &amp; C"</f>
        <v>0.0% = Est. S &amp; C</v>
      </c>
      <c r="W53" s="130" t="str">
        <f>IF(T53=0,"0.00%",(X53-T53)/T53)</f>
        <v>0.00%</v>
      </c>
      <c r="X53" s="2">
        <f>ROUND(T53*(1+Y38),0)</f>
        <v>0</v>
      </c>
      <c r="Y53" s="36" t="str">
        <f>TEXT(Y38,"0.0%")&amp;" = Est. S &amp; C"</f>
        <v>0.0% = Est. S &amp; C</v>
      </c>
      <c r="AA53" s="130" t="str">
        <f>IF(X53=0,"0.00%",(AB53-X53)/X53)</f>
        <v>0.00%</v>
      </c>
      <c r="AB53" s="2">
        <f>ROUND(X53*(1+AC38),0)</f>
        <v>0</v>
      </c>
      <c r="AC53" s="36" t="str">
        <f>TEXT(AC38,"0.0%")&amp;" = Est. S &amp; C"</f>
        <v>0.0% = Est. S &amp; C</v>
      </c>
    </row>
    <row r="54" spans="1:29" x14ac:dyDescent="0.25">
      <c r="A54" s="1414"/>
      <c r="B54" s="1416" t="s">
        <v>835</v>
      </c>
      <c r="C54" s="1418" t="s">
        <v>850</v>
      </c>
      <c r="D54" s="1417">
        <v>9378</v>
      </c>
      <c r="G54" s="1527">
        <f>IF(D54=0,"0.00%",(H54-D54)/D54)</f>
        <v>-2.964384730219663E-2</v>
      </c>
      <c r="H54" s="2">
        <v>9100</v>
      </c>
      <c r="K54" s="1527">
        <f t="shared" ref="K54:K56" si="22">IF(H54=0,"0.00%",(L54-H54)/H54)</f>
        <v>0</v>
      </c>
      <c r="L54" s="2">
        <f>+H54</f>
        <v>9100</v>
      </c>
      <c r="M54" s="1518"/>
      <c r="O54" s="1527">
        <f t="shared" ref="O54:O64" si="23">IF(L54=0,"0.00%",(P54-L54)/L54)</f>
        <v>0</v>
      </c>
      <c r="P54" s="2">
        <f>+L54</f>
        <v>9100</v>
      </c>
      <c r="Q54" s="1518"/>
      <c r="U54" s="124"/>
      <c r="Y54" s="124"/>
      <c r="AC54" s="124"/>
    </row>
    <row r="55" spans="1:29" x14ac:dyDescent="0.25">
      <c r="A55" s="1414"/>
      <c r="B55" s="1416" t="s">
        <v>836</v>
      </c>
      <c r="C55" s="1418" t="s">
        <v>851</v>
      </c>
      <c r="D55" s="1417">
        <v>184122</v>
      </c>
      <c r="E55" s="1257"/>
      <c r="G55" s="1527">
        <f>IF(D55=0,"0.00%",(H55-D55)/D55)</f>
        <v>0</v>
      </c>
      <c r="H55" s="2">
        <v>184122</v>
      </c>
      <c r="K55" s="1527">
        <f t="shared" si="22"/>
        <v>0</v>
      </c>
      <c r="L55" s="2">
        <f>+H55</f>
        <v>184122</v>
      </c>
      <c r="M55" s="1518"/>
      <c r="O55" s="1527">
        <f t="shared" si="23"/>
        <v>0</v>
      </c>
      <c r="P55" s="2">
        <f>+L55</f>
        <v>184122</v>
      </c>
      <c r="Q55" s="1518"/>
      <c r="U55" s="124"/>
      <c r="Y55" s="124"/>
      <c r="AC55" s="124"/>
    </row>
    <row r="56" spans="1:29" x14ac:dyDescent="0.25">
      <c r="A56" s="1414"/>
      <c r="B56" s="1416" t="s">
        <v>837</v>
      </c>
      <c r="C56" s="1418" t="s">
        <v>852</v>
      </c>
      <c r="D56" s="2">
        <f>299534</f>
        <v>299534</v>
      </c>
      <c r="E56" s="1515"/>
      <c r="G56" s="1527">
        <f>IF(D56=0,"0.00%",(H56-D56)/D56)</f>
        <v>2.0031114998631208E-4</v>
      </c>
      <c r="H56" s="2">
        <v>299594</v>
      </c>
      <c r="K56" s="1527">
        <f t="shared" si="22"/>
        <v>0</v>
      </c>
      <c r="L56" s="2">
        <f>+H56</f>
        <v>299594</v>
      </c>
      <c r="M56" s="1518"/>
      <c r="O56" s="1527">
        <f t="shared" ref="O56:O63" si="24">IF(L56=0,"0.00%",(P56-L56)/L56)</f>
        <v>0</v>
      </c>
      <c r="P56" s="2">
        <f>+L56</f>
        <v>299594</v>
      </c>
      <c r="Q56" s="1518"/>
      <c r="U56" s="124"/>
      <c r="Y56" s="124"/>
      <c r="AC56" s="124"/>
    </row>
    <row r="57" spans="1:29" x14ac:dyDescent="0.25">
      <c r="A57" s="1414"/>
      <c r="B57" s="1416" t="s">
        <v>838</v>
      </c>
      <c r="C57" s="1418" t="s">
        <v>853</v>
      </c>
      <c r="D57" s="2">
        <f>1458762+3603</f>
        <v>1462365</v>
      </c>
      <c r="G57" s="1527">
        <f>IF(D57=0,"0.00%",(H57-D57)/D57)</f>
        <v>0.1001945478727951</v>
      </c>
      <c r="H57" s="2">
        <v>1608886</v>
      </c>
      <c r="K57" s="1527">
        <f t="shared" ref="K57:K62" si="25">IF(H57=0,"0.00%",(L57-H57)/H57)</f>
        <v>1.4999819751057564E-2</v>
      </c>
      <c r="L57" s="2">
        <f t="shared" si="20"/>
        <v>1633019</v>
      </c>
      <c r="M57" s="1518" t="str">
        <f t="shared" ref="M57:M59" si="26">TEXT($M$37,"0.0%")&amp;" = Est. S &amp; C"</f>
        <v>1.5% = Est. S &amp; C</v>
      </c>
      <c r="O57" s="1527">
        <f t="shared" si="24"/>
        <v>1.4999825476617235E-2</v>
      </c>
      <c r="P57" s="2">
        <f t="shared" ref="P57:P61" si="27">ROUND(L57*(1+$Q$37),0)</f>
        <v>1657514</v>
      </c>
      <c r="Q57" s="1518" t="str">
        <f t="shared" ref="Q57:Q59" si="28">TEXT($Q$37,"0.0%")&amp;" = Est. S &amp; C"</f>
        <v>1.5% = Est. S &amp; C</v>
      </c>
      <c r="U57" s="124"/>
      <c r="Y57" s="124"/>
      <c r="AC57" s="124"/>
    </row>
    <row r="58" spans="1:29" x14ac:dyDescent="0.25">
      <c r="A58" s="1414"/>
      <c r="B58" s="1416" t="s">
        <v>839</v>
      </c>
      <c r="C58" s="1418" t="s">
        <v>854</v>
      </c>
      <c r="D58" s="1417">
        <v>393570</v>
      </c>
      <c r="G58" s="1527">
        <f t="shared" ref="G58:G62" si="29">IF(D58=0,"0.00%",(H58-D58)/D58)</f>
        <v>1.957466270294992E-2</v>
      </c>
      <c r="H58" s="2">
        <v>401274</v>
      </c>
      <c r="K58" s="1527">
        <f t="shared" si="25"/>
        <v>1.4999725873094194E-2</v>
      </c>
      <c r="L58" s="2">
        <f t="shared" si="20"/>
        <v>407293</v>
      </c>
      <c r="M58" s="1518" t="str">
        <f t="shared" si="26"/>
        <v>1.5% = Est. S &amp; C</v>
      </c>
      <c r="O58" s="1527">
        <f t="shared" si="24"/>
        <v>1.4999030182202984E-2</v>
      </c>
      <c r="P58" s="2">
        <f t="shared" si="27"/>
        <v>413402</v>
      </c>
      <c r="Q58" s="1518" t="str">
        <f t="shared" si="28"/>
        <v>1.5% = Est. S &amp; C</v>
      </c>
      <c r="U58" s="124"/>
      <c r="Y58" s="124"/>
      <c r="AC58" s="124"/>
    </row>
    <row r="59" spans="1:29" x14ac:dyDescent="0.25">
      <c r="A59" s="1414"/>
      <c r="B59" s="1416" t="s">
        <v>39</v>
      </c>
      <c r="C59" s="1418" t="s">
        <v>421</v>
      </c>
      <c r="D59" s="1417">
        <v>127715</v>
      </c>
      <c r="G59" s="1527">
        <f t="shared" si="29"/>
        <v>2.2213522295736601E-2</v>
      </c>
      <c r="H59" s="2">
        <v>130552</v>
      </c>
      <c r="K59" s="1527">
        <f t="shared" si="25"/>
        <v>1.4997855260739016E-2</v>
      </c>
      <c r="L59" s="2">
        <f t="shared" si="20"/>
        <v>132510</v>
      </c>
      <c r="M59" s="1518" t="str">
        <f t="shared" si="26"/>
        <v>1.5% = Est. S &amp; C</v>
      </c>
      <c r="O59" s="1527">
        <f t="shared" si="24"/>
        <v>1.5002641310089805E-2</v>
      </c>
      <c r="P59" s="2">
        <f t="shared" si="27"/>
        <v>134498</v>
      </c>
      <c r="Q59" s="1518" t="str">
        <f t="shared" si="28"/>
        <v>1.5% = Est. S &amp; C</v>
      </c>
      <c r="U59" s="124"/>
      <c r="Y59" s="124"/>
      <c r="AC59" s="124"/>
    </row>
    <row r="60" spans="1:29" x14ac:dyDescent="0.25">
      <c r="A60" s="1414"/>
      <c r="B60" s="1416" t="s">
        <v>840</v>
      </c>
      <c r="C60" s="1418" t="s">
        <v>855</v>
      </c>
      <c r="D60" s="1417">
        <v>21759</v>
      </c>
      <c r="G60" s="1527">
        <f t="shared" si="29"/>
        <v>0.31756974125649157</v>
      </c>
      <c r="H60" s="2">
        <v>28669</v>
      </c>
      <c r="K60" s="1527">
        <f t="shared" si="25"/>
        <v>0</v>
      </c>
      <c r="L60" s="2">
        <f>+H60</f>
        <v>28669</v>
      </c>
      <c r="M60" s="1518"/>
      <c r="O60" s="1527">
        <f t="shared" si="24"/>
        <v>0</v>
      </c>
      <c r="P60" s="2">
        <f>+L60</f>
        <v>28669</v>
      </c>
      <c r="Q60" s="1518"/>
      <c r="U60" s="124"/>
      <c r="Y60" s="124"/>
      <c r="AC60" s="124"/>
    </row>
    <row r="61" spans="1:29" x14ac:dyDescent="0.25">
      <c r="A61" s="1414"/>
      <c r="B61" s="1416" t="s">
        <v>841</v>
      </c>
      <c r="C61" s="1418" t="s">
        <v>856</v>
      </c>
      <c r="D61" s="1417">
        <v>17371</v>
      </c>
      <c r="G61" s="1527">
        <f t="shared" si="29"/>
        <v>-1</v>
      </c>
      <c r="H61" s="2">
        <v>0</v>
      </c>
      <c r="K61" s="1527" t="str">
        <f>IF(H61=0,"0%",(L61-H61)/H61)</f>
        <v>0%</v>
      </c>
      <c r="L61" s="2">
        <f t="shared" si="20"/>
        <v>0</v>
      </c>
      <c r="M61" s="1518"/>
      <c r="O61" s="1527" t="str">
        <f>IF(L61=0,"0%",(P61-L61)/L61)</f>
        <v>0%</v>
      </c>
      <c r="P61" s="2">
        <f t="shared" si="27"/>
        <v>0</v>
      </c>
      <c r="Q61" s="1518"/>
      <c r="U61" s="124"/>
      <c r="Y61" s="124"/>
      <c r="AC61" s="124"/>
    </row>
    <row r="62" spans="1:29" x14ac:dyDescent="0.25">
      <c r="A62" s="1414"/>
      <c r="B62" s="1416" t="s">
        <v>204</v>
      </c>
      <c r="C62" s="1418" t="s">
        <v>857</v>
      </c>
      <c r="D62" s="1417">
        <v>10000</v>
      </c>
      <c r="G62" s="1527">
        <f t="shared" si="29"/>
        <v>0.4</v>
      </c>
      <c r="H62" s="2">
        <v>14000</v>
      </c>
      <c r="K62" s="1527">
        <f t="shared" si="25"/>
        <v>-0.2857142857142857</v>
      </c>
      <c r="L62" s="2">
        <v>10000</v>
      </c>
      <c r="M62" s="1518"/>
      <c r="O62" s="1527">
        <f t="shared" si="24"/>
        <v>0</v>
      </c>
      <c r="P62" s="2">
        <v>10000</v>
      </c>
      <c r="Q62" s="1518"/>
      <c r="U62" s="124"/>
      <c r="Y62" s="124"/>
      <c r="AC62" s="124"/>
    </row>
    <row r="63" spans="1:29" x14ac:dyDescent="0.25">
      <c r="A63" s="66"/>
      <c r="B63" s="1384"/>
      <c r="G63" s="1527"/>
      <c r="H63" s="2"/>
      <c r="K63" s="1527"/>
      <c r="L63" s="2"/>
      <c r="M63" s="1518"/>
      <c r="O63" s="1527" t="str">
        <f t="shared" si="24"/>
        <v>0.00%</v>
      </c>
      <c r="Q63" s="1518"/>
      <c r="U63" s="124"/>
      <c r="Y63" s="124"/>
      <c r="AC63" s="124"/>
    </row>
    <row r="64" spans="1:29" x14ac:dyDescent="0.25">
      <c r="A64" s="29"/>
      <c r="B64" s="1384"/>
      <c r="D64" s="8">
        <f>SUM(D39:D63)</f>
        <v>28813863</v>
      </c>
      <c r="G64" s="1527">
        <f t="shared" si="7"/>
        <v>6.501731475574795E-3</v>
      </c>
      <c r="H64" s="8">
        <f>SUM(H39:H63)</f>
        <v>29001203</v>
      </c>
      <c r="I64" s="1882">
        <f>+H64-D64</f>
        <v>187340</v>
      </c>
      <c r="J64" s="29"/>
      <c r="K64" s="1527">
        <f>IF(H64=0,"0.00%",(L64-H64)/H64)</f>
        <v>-8.0120814298634442E-4</v>
      </c>
      <c r="L64" s="8">
        <f>SUM(L39:L63)</f>
        <v>28977967</v>
      </c>
      <c r="M64" s="1882">
        <f>+L64-H64</f>
        <v>-23236</v>
      </c>
      <c r="O64" s="1527">
        <f t="shared" si="23"/>
        <v>1.4686503024867134E-2</v>
      </c>
      <c r="P64" s="8">
        <f>SUM(P39:P63)</f>
        <v>29403552</v>
      </c>
      <c r="Q64" s="1882">
        <f>+P64-L64</f>
        <v>425585</v>
      </c>
      <c r="S64" s="130">
        <f>IF(P64=0,"0.00%",(T64-P64)/P64)</f>
        <v>-9.9365103916696867E-2</v>
      </c>
      <c r="T64" s="8">
        <f>SUM(T39:T54)</f>
        <v>26481865</v>
      </c>
      <c r="U64" s="124"/>
      <c r="W64" s="130">
        <f>IF(T64=0,"0.00%",(X64-T64)/T64)</f>
        <v>1.9999988671492736E-2</v>
      </c>
      <c r="X64" s="8">
        <f>SUM(X39:X54)</f>
        <v>27011502</v>
      </c>
      <c r="Y64" s="124"/>
      <c r="AA64" s="130">
        <f>IF(X64=0,"0.00%",(AB64-X64)/X64)</f>
        <v>1.999999851914936E-2</v>
      </c>
      <c r="AB64" s="8">
        <f>SUM(AB39:AB54)</f>
        <v>27551732</v>
      </c>
      <c r="AC64" s="124"/>
    </row>
    <row r="65" spans="1:29" x14ac:dyDescent="0.25">
      <c r="A65" s="66"/>
      <c r="H65" s="2"/>
      <c r="L65" s="2"/>
      <c r="M65" s="1394"/>
      <c r="Q65" s="1394"/>
      <c r="U65" s="124"/>
      <c r="Y65" s="124"/>
      <c r="AC65" s="124"/>
    </row>
    <row r="66" spans="1:29" s="6" customFormat="1" x14ac:dyDescent="0.25">
      <c r="A66" s="57"/>
      <c r="B66" s="1353" t="s">
        <v>35</v>
      </c>
      <c r="C66" s="1250"/>
      <c r="D66" s="490" t="s">
        <v>494</v>
      </c>
      <c r="E66" s="1250"/>
      <c r="G66" s="1539"/>
      <c r="I66" s="1250"/>
      <c r="J66" s="57"/>
      <c r="K66" s="1571"/>
      <c r="M66" s="1395"/>
      <c r="O66" s="1571"/>
      <c r="Q66" s="1395"/>
      <c r="R66" s="431"/>
      <c r="U66" s="129"/>
      <c r="Y66" s="129"/>
      <c r="AC66" s="129"/>
    </row>
    <row r="67" spans="1:29" x14ac:dyDescent="0.25">
      <c r="A67" s="66"/>
      <c r="B67" s="1384" t="s">
        <v>250</v>
      </c>
      <c r="C67" s="1249" t="s">
        <v>858</v>
      </c>
      <c r="D67" s="2">
        <v>13208</v>
      </c>
      <c r="G67" s="1527">
        <f t="shared" ref="G67:G69" si="30">IF(D67=0,"0.00%",(H67-D67)/D67)</f>
        <v>-1</v>
      </c>
      <c r="H67" s="2">
        <v>0</v>
      </c>
      <c r="I67" s="1257" t="s">
        <v>929</v>
      </c>
      <c r="K67" s="1527" t="str">
        <f t="shared" ref="K67:K69" si="31">IF(H67=0,"0.00%",(L67-H67)/H67)</f>
        <v>0.00%</v>
      </c>
      <c r="L67" s="2">
        <f>ROUND(H67*(1+M37),0)</f>
        <v>0</v>
      </c>
      <c r="M67" s="1518"/>
      <c r="O67" s="1527" t="str">
        <f t="shared" ref="O67:O77" si="32">IF(L67=0,"0.00%",(P67-L67)/L67)</f>
        <v>0.00%</v>
      </c>
      <c r="P67" s="2">
        <f>ROUND(L67*(1+Q37),0)</f>
        <v>0</v>
      </c>
      <c r="Q67" s="1518"/>
      <c r="S67" s="130" t="str">
        <f t="shared" ref="S67:S69" si="33">IF(P67=0,"0.00%",(T67-P67)/P67)</f>
        <v>0.00%</v>
      </c>
      <c r="T67" s="2">
        <f>ROUND(P67*(1+U37),0)</f>
        <v>0</v>
      </c>
      <c r="U67" s="36" t="str">
        <f>TEXT(U37,"0.0%")&amp;" = Est. S &amp; C"</f>
        <v>2.0% = Est. S &amp; C</v>
      </c>
      <c r="W67" s="130" t="str">
        <f t="shared" ref="W67:W69" si="34">IF(T67=0,"0.00%",(X67-T67)/T67)</f>
        <v>0.00%</v>
      </c>
      <c r="X67" s="2">
        <f>ROUND(T67*(1+Y37),0)</f>
        <v>0</v>
      </c>
      <c r="Y67" s="36" t="str">
        <f>TEXT(Y37,"0.0%")&amp;" = Est. S &amp; C"</f>
        <v>2.0% = Est. S &amp; C</v>
      </c>
      <c r="AA67" s="130" t="str">
        <f t="shared" ref="AA67:AA69" si="35">IF(X67=0,"0.00%",(AB67-X67)/X67)</f>
        <v>0.00%</v>
      </c>
      <c r="AB67" s="2">
        <f>ROUND(X67*(1+AC37),0)</f>
        <v>0</v>
      </c>
      <c r="AC67" s="36" t="str">
        <f>TEXT(AC37,"0.0%")&amp;" = Est. S &amp; C"</f>
        <v>2.0% = Est. S &amp; C</v>
      </c>
    </row>
    <row r="68" spans="1:29" x14ac:dyDescent="0.25">
      <c r="A68" s="66"/>
      <c r="B68" s="1384" t="s">
        <v>251</v>
      </c>
      <c r="C68" s="1249" t="s">
        <v>868</v>
      </c>
      <c r="D68" s="2">
        <v>536591</v>
      </c>
      <c r="G68" s="1527">
        <f t="shared" si="30"/>
        <v>3.2277842900831362E-2</v>
      </c>
      <c r="H68" s="2">
        <v>553911</v>
      </c>
      <c r="K68" s="1527">
        <f t="shared" si="31"/>
        <v>-1</v>
      </c>
      <c r="L68" s="2">
        <v>0</v>
      </c>
      <c r="M68" s="1518" t="s">
        <v>929</v>
      </c>
      <c r="O68" s="1527" t="str">
        <f t="shared" si="32"/>
        <v>0.00%</v>
      </c>
      <c r="P68" s="2">
        <f>ROUND(L68*(1+Q37),0)</f>
        <v>0</v>
      </c>
      <c r="Q68" s="1518"/>
      <c r="S68" s="130" t="str">
        <f t="shared" si="33"/>
        <v>0.00%</v>
      </c>
      <c r="T68" s="2">
        <f>ROUND(P68*(1+U37),0)</f>
        <v>0</v>
      </c>
      <c r="U68" s="36" t="str">
        <f>TEXT(U37,"0.0%")&amp;" = Est. S &amp; C"</f>
        <v>2.0% = Est. S &amp; C</v>
      </c>
      <c r="W68" s="130" t="str">
        <f t="shared" si="34"/>
        <v>0.00%</v>
      </c>
      <c r="X68" s="2">
        <f>ROUND(T68*(1+Y37),0)</f>
        <v>0</v>
      </c>
      <c r="Y68" s="36" t="str">
        <f>TEXT(Y37,"0.0%")&amp;" = Est. S &amp; C"</f>
        <v>2.0% = Est. S &amp; C</v>
      </c>
      <c r="AA68" s="130" t="str">
        <f t="shared" si="35"/>
        <v>0.00%</v>
      </c>
      <c r="AB68" s="2">
        <f>ROUND(X68*(1+AC37),0)</f>
        <v>0</v>
      </c>
      <c r="AC68" s="36" t="str">
        <f>TEXT(AC37,"0.0%")&amp;" = Est. S &amp; C"</f>
        <v>2.0% = Est. S &amp; C</v>
      </c>
    </row>
    <row r="69" spans="1:29" x14ac:dyDescent="0.25">
      <c r="A69" s="66"/>
      <c r="B69" s="1384" t="s">
        <v>251</v>
      </c>
      <c r="C69" s="1249" t="s">
        <v>859</v>
      </c>
      <c r="D69" s="2">
        <v>137247</v>
      </c>
      <c r="G69" s="1527">
        <f t="shared" si="30"/>
        <v>9.0996524514197027E-2</v>
      </c>
      <c r="H69" s="2">
        <v>149736</v>
      </c>
      <c r="K69" s="1527">
        <f t="shared" si="31"/>
        <v>1.4999732863172516E-2</v>
      </c>
      <c r="L69" s="2">
        <f>ROUND(H69*(1+$M$37),0)</f>
        <v>151982</v>
      </c>
      <c r="M69" s="1518" t="str">
        <f>TEXT($M$37,"0.0%")&amp;" = Est. S &amp; C"</f>
        <v>1.5% = Est. S &amp; C</v>
      </c>
      <c r="O69" s="1527">
        <f t="shared" si="32"/>
        <v>1.5001776526167573E-2</v>
      </c>
      <c r="P69" s="2">
        <f>ROUND(L69*(1+Q37),0)</f>
        <v>154262</v>
      </c>
      <c r="Q69" s="1518" t="str">
        <f>TEXT(Q37,"0.0%")&amp;" = Est. S &amp; C"</f>
        <v>1.5% = Est. S &amp; C</v>
      </c>
      <c r="S69" s="130">
        <f t="shared" si="33"/>
        <v>1.9998444205313038E-2</v>
      </c>
      <c r="T69" s="2">
        <f>ROUND(P69*(1+U37),0)</f>
        <v>157347</v>
      </c>
      <c r="U69" s="36" t="str">
        <f>TEXT(U37,"0.0%")&amp;" = Est. S &amp; C"</f>
        <v>2.0% = Est. S &amp; C</v>
      </c>
      <c r="W69" s="130">
        <f t="shared" si="34"/>
        <v>2.0000381322808822E-2</v>
      </c>
      <c r="X69" s="2">
        <f>ROUND(T69*(1+Y37),0)</f>
        <v>160494</v>
      </c>
      <c r="Y69" s="36" t="str">
        <f>TEXT(Y37,"0.0%")&amp;" = Est. S &amp; C"</f>
        <v>2.0% = Est. S &amp; C</v>
      </c>
      <c r="AA69" s="130">
        <f t="shared" si="35"/>
        <v>2.0000747691502486E-2</v>
      </c>
      <c r="AB69" s="2">
        <f>ROUND(X69*(1+AC37),0)</f>
        <v>163704</v>
      </c>
      <c r="AC69" s="36" t="str">
        <f>TEXT(AC37,"0.0%")&amp;" = Est. S &amp; C"</f>
        <v>2.0% = Est. S &amp; C</v>
      </c>
    </row>
    <row r="70" spans="1:29" x14ac:dyDescent="0.25">
      <c r="A70" s="66"/>
      <c r="B70" s="1384" t="s">
        <v>251</v>
      </c>
      <c r="C70" s="1249" t="s">
        <v>860</v>
      </c>
      <c r="D70" s="2">
        <v>308168</v>
      </c>
      <c r="G70" s="1527">
        <f t="shared" ref="G70:G77" si="36">IF(D70=0,"0.00%",(H70-D70)/D70)</f>
        <v>9.8348952519404995E-2</v>
      </c>
      <c r="H70" s="2">
        <v>338476</v>
      </c>
      <c r="K70" s="1527">
        <f t="shared" ref="K70:K77" si="37">IF(H70=0,"0.00%",(L70-H70)/H70)</f>
        <v>1.4999586381309162E-2</v>
      </c>
      <c r="L70" s="2">
        <f t="shared" ref="L70:L77" si="38">ROUND(H70*(1+$M$37),0)</f>
        <v>343553</v>
      </c>
      <c r="M70" s="1518" t="str">
        <f t="shared" ref="M70:M77" si="39">TEXT($M$37,"0.0%")&amp;" = Est. S &amp; C"</f>
        <v>1.5% = Est. S &amp; C</v>
      </c>
      <c r="O70" s="1527">
        <f t="shared" si="32"/>
        <v>1.4999141326083603E-2</v>
      </c>
      <c r="P70" s="2">
        <f t="shared" ref="P70:P77" si="40">ROUND(L70*(1+$Q$37),0)</f>
        <v>348706</v>
      </c>
      <c r="Q70" s="1518" t="str">
        <f t="shared" ref="Q70:Q77" si="41">TEXT($Q$37,"0.0%")&amp;" = Est. S &amp; C"</f>
        <v>1.5% = Est. S &amp; C</v>
      </c>
      <c r="S70" s="130"/>
      <c r="U70" s="36"/>
      <c r="W70" s="130"/>
      <c r="Y70" s="36"/>
      <c r="AA70" s="130"/>
      <c r="AC70" s="36"/>
    </row>
    <row r="71" spans="1:29" x14ac:dyDescent="0.25">
      <c r="A71" s="66"/>
      <c r="B71" s="1384" t="s">
        <v>251</v>
      </c>
      <c r="C71" s="1249" t="s">
        <v>861</v>
      </c>
      <c r="D71" s="2">
        <v>1672476</v>
      </c>
      <c r="G71" s="1527">
        <f t="shared" si="36"/>
        <v>5.2611816253267607E-2</v>
      </c>
      <c r="H71" s="2">
        <v>1760468</v>
      </c>
      <c r="K71" s="1527">
        <f t="shared" si="37"/>
        <v>1.4999988639384527E-2</v>
      </c>
      <c r="L71" s="2">
        <f t="shared" si="38"/>
        <v>1786875</v>
      </c>
      <c r="M71" s="1518" t="str">
        <f t="shared" si="39"/>
        <v>1.5% = Est. S &amp; C</v>
      </c>
      <c r="O71" s="1527">
        <f t="shared" si="32"/>
        <v>1.4999930045470445E-2</v>
      </c>
      <c r="P71" s="2">
        <f t="shared" si="40"/>
        <v>1813678</v>
      </c>
      <c r="Q71" s="1518" t="str">
        <f t="shared" si="41"/>
        <v>1.5% = Est. S &amp; C</v>
      </c>
      <c r="S71" s="130"/>
      <c r="U71" s="36"/>
      <c r="W71" s="130"/>
      <c r="Y71" s="36"/>
      <c r="AA71" s="130"/>
      <c r="AC71" s="36"/>
    </row>
    <row r="72" spans="1:29" x14ac:dyDescent="0.25">
      <c r="A72" s="66"/>
      <c r="B72" s="1384" t="s">
        <v>322</v>
      </c>
      <c r="C72" s="1249" t="s">
        <v>862</v>
      </c>
      <c r="D72" s="2">
        <v>449964</v>
      </c>
      <c r="G72" s="1527">
        <f t="shared" si="36"/>
        <v>-5.0768505924918439E-2</v>
      </c>
      <c r="H72" s="2">
        <v>427120</v>
      </c>
      <c r="I72" s="1257" t="s">
        <v>930</v>
      </c>
      <c r="K72" s="1527">
        <f t="shared" si="37"/>
        <v>1.5000468252481738E-2</v>
      </c>
      <c r="L72" s="2">
        <f t="shared" si="38"/>
        <v>433527</v>
      </c>
      <c r="M72" s="1518" t="str">
        <f t="shared" si="39"/>
        <v>1.5% = Est. S &amp; C</v>
      </c>
      <c r="O72" s="1527">
        <f t="shared" si="32"/>
        <v>1.500021913283371E-2</v>
      </c>
      <c r="P72" s="2">
        <f t="shared" si="40"/>
        <v>440030</v>
      </c>
      <c r="Q72" s="1518" t="str">
        <f t="shared" si="41"/>
        <v>1.5% = Est. S &amp; C</v>
      </c>
      <c r="S72" s="130"/>
      <c r="U72" s="36"/>
      <c r="W72" s="130"/>
      <c r="Y72" s="36"/>
      <c r="AA72" s="130"/>
      <c r="AC72" s="36"/>
    </row>
    <row r="73" spans="1:29" x14ac:dyDescent="0.25">
      <c r="A73" s="66"/>
      <c r="B73" s="1384" t="s">
        <v>252</v>
      </c>
      <c r="C73" s="1249" t="s">
        <v>863</v>
      </c>
      <c r="D73" s="2">
        <v>1419479</v>
      </c>
      <c r="G73" s="1527">
        <f t="shared" si="36"/>
        <v>7.8986726820192473E-3</v>
      </c>
      <c r="H73" s="2">
        <v>1430691</v>
      </c>
      <c r="I73" s="1516"/>
      <c r="K73" s="1527">
        <f t="shared" si="37"/>
        <v>1.4999744878523734E-2</v>
      </c>
      <c r="L73" s="2">
        <f t="shared" si="38"/>
        <v>1452151</v>
      </c>
      <c r="M73" s="1518" t="str">
        <f t="shared" si="39"/>
        <v>1.5% = Est. S &amp; C</v>
      </c>
      <c r="O73" s="1527">
        <f t="shared" si="32"/>
        <v>1.4999817512090684E-2</v>
      </c>
      <c r="P73" s="2">
        <f t="shared" si="40"/>
        <v>1473933</v>
      </c>
      <c r="Q73" s="1518" t="str">
        <f t="shared" si="41"/>
        <v>1.5% = Est. S &amp; C</v>
      </c>
      <c r="S73" s="130"/>
      <c r="U73" s="36"/>
      <c r="W73" s="130"/>
      <c r="Y73" s="36"/>
      <c r="AA73" s="130"/>
      <c r="AC73" s="36"/>
    </row>
    <row r="74" spans="1:29" x14ac:dyDescent="0.25">
      <c r="A74" s="66"/>
      <c r="B74" s="1384" t="s">
        <v>252</v>
      </c>
      <c r="C74" s="1249" t="s">
        <v>864</v>
      </c>
      <c r="D74" s="2">
        <v>811342</v>
      </c>
      <c r="G74" s="1527">
        <f t="shared" si="36"/>
        <v>4.6096467334367008E-2</v>
      </c>
      <c r="H74" s="2">
        <v>848742</v>
      </c>
      <c r="K74" s="1527">
        <f t="shared" si="37"/>
        <v>1.4999846832135089E-2</v>
      </c>
      <c r="L74" s="2">
        <f t="shared" si="38"/>
        <v>861473</v>
      </c>
      <c r="M74" s="1518" t="str">
        <f t="shared" si="39"/>
        <v>1.5% = Est. S &amp; C</v>
      </c>
      <c r="O74" s="1527">
        <f t="shared" si="32"/>
        <v>1.4999889723763832E-2</v>
      </c>
      <c r="P74" s="2">
        <f t="shared" si="40"/>
        <v>874395</v>
      </c>
      <c r="Q74" s="1518" t="str">
        <f t="shared" si="41"/>
        <v>1.5% = Est. S &amp; C</v>
      </c>
      <c r="S74" s="130"/>
      <c r="U74" s="36"/>
      <c r="W74" s="130"/>
      <c r="Y74" s="36"/>
      <c r="AA74" s="130"/>
      <c r="AC74" s="36"/>
    </row>
    <row r="75" spans="1:29" x14ac:dyDescent="0.25">
      <c r="A75" s="66"/>
      <c r="B75" s="1384" t="s">
        <v>255</v>
      </c>
      <c r="C75" s="1249" t="s">
        <v>865</v>
      </c>
      <c r="D75" s="2">
        <v>492872</v>
      </c>
      <c r="G75" s="1527">
        <f t="shared" si="36"/>
        <v>6.7747812819555581E-2</v>
      </c>
      <c r="H75" s="2">
        <v>526263</v>
      </c>
      <c r="K75" s="1527">
        <f t="shared" si="37"/>
        <v>-1</v>
      </c>
      <c r="L75" s="2">
        <v>0</v>
      </c>
      <c r="M75" s="1518" t="s">
        <v>929</v>
      </c>
      <c r="O75" s="1527" t="str">
        <f t="shared" si="32"/>
        <v>0.00%</v>
      </c>
      <c r="P75" s="2">
        <f t="shared" si="40"/>
        <v>0</v>
      </c>
      <c r="Q75" s="1518"/>
      <c r="S75" s="130"/>
      <c r="U75" s="36"/>
      <c r="W75" s="130"/>
      <c r="Y75" s="36"/>
      <c r="AA75" s="130"/>
      <c r="AC75" s="36"/>
    </row>
    <row r="76" spans="1:29" x14ac:dyDescent="0.25">
      <c r="A76" s="66"/>
      <c r="B76" s="1384" t="s">
        <v>255</v>
      </c>
      <c r="C76" s="1249" t="s">
        <v>866</v>
      </c>
      <c r="D76" s="2">
        <v>108459</v>
      </c>
      <c r="G76" s="1527">
        <f t="shared" si="36"/>
        <v>-0.9522307968909911</v>
      </c>
      <c r="H76" s="2">
        <v>5181</v>
      </c>
      <c r="I76" s="1257" t="s">
        <v>946</v>
      </c>
      <c r="K76" s="1527">
        <f t="shared" si="37"/>
        <v>-1</v>
      </c>
      <c r="L76" s="2">
        <v>0</v>
      </c>
      <c r="M76" s="1518" t="s">
        <v>929</v>
      </c>
      <c r="O76" s="1527" t="str">
        <f t="shared" si="32"/>
        <v>0.00%</v>
      </c>
      <c r="P76" s="2">
        <f t="shared" si="40"/>
        <v>0</v>
      </c>
      <c r="Q76" s="1518"/>
      <c r="S76" s="130"/>
      <c r="U76" s="36"/>
      <c r="W76" s="130"/>
      <c r="Y76" s="36"/>
      <c r="AA76" s="130"/>
      <c r="AC76" s="36"/>
    </row>
    <row r="77" spans="1:29" x14ac:dyDescent="0.25">
      <c r="A77" s="66"/>
      <c r="B77" s="1384" t="s">
        <v>255</v>
      </c>
      <c r="C77" s="1249" t="s">
        <v>867</v>
      </c>
      <c r="D77" s="2">
        <v>23558</v>
      </c>
      <c r="G77" s="1527">
        <f t="shared" si="36"/>
        <v>-0.21894897699295357</v>
      </c>
      <c r="H77" s="2">
        <v>18400</v>
      </c>
      <c r="K77" s="1527">
        <f t="shared" si="37"/>
        <v>1.4999999999999999E-2</v>
      </c>
      <c r="L77" s="2">
        <f t="shared" si="38"/>
        <v>18676</v>
      </c>
      <c r="M77" s="1518" t="str">
        <f t="shared" si="39"/>
        <v>1.5% = Est. S &amp; C</v>
      </c>
      <c r="O77" s="1527">
        <f t="shared" si="32"/>
        <v>1.4992503748125937E-2</v>
      </c>
      <c r="P77" s="2">
        <f t="shared" si="40"/>
        <v>18956</v>
      </c>
      <c r="Q77" s="1518" t="str">
        <f t="shared" si="41"/>
        <v>1.5% = Est. S &amp; C</v>
      </c>
      <c r="S77" s="130"/>
      <c r="U77" s="36"/>
      <c r="W77" s="130"/>
      <c r="Y77" s="36"/>
      <c r="AA77" s="130"/>
      <c r="AC77" s="36"/>
    </row>
    <row r="78" spans="1:29" x14ac:dyDescent="0.25">
      <c r="A78" s="66"/>
      <c r="B78" s="1384" t="s">
        <v>932</v>
      </c>
      <c r="C78" s="1249" t="s">
        <v>933</v>
      </c>
      <c r="G78" s="1527" t="str">
        <f t="shared" ref="G78" si="42">IF(D78=0,"0.00%",(H78-D78)/D78)</f>
        <v>0.00%</v>
      </c>
      <c r="H78" s="2">
        <v>5000</v>
      </c>
      <c r="L78" s="2"/>
      <c r="M78" s="1394"/>
      <c r="Q78" s="1394"/>
      <c r="U78" s="124"/>
      <c r="Y78" s="124"/>
      <c r="AC78" s="124"/>
    </row>
    <row r="79" spans="1:29" x14ac:dyDescent="0.25">
      <c r="A79" s="29"/>
      <c r="B79" s="1384"/>
      <c r="D79" s="8">
        <f>SUM(D67:D78)</f>
        <v>5973364</v>
      </c>
      <c r="G79" s="1527">
        <f>IF(D79=0,"0.00%",(H79-D79)/D79)</f>
        <v>1.5171350682797834E-2</v>
      </c>
      <c r="H79" s="8">
        <f>SUM(H67:H78)</f>
        <v>6063988</v>
      </c>
      <c r="I79" s="1882">
        <f>+H79-D79</f>
        <v>90624</v>
      </c>
      <c r="J79" s="29"/>
      <c r="K79" s="1527">
        <f>IF(H79=0,"0.00%",(L79-H79)/H79)</f>
        <v>-0.16750544361235542</v>
      </c>
      <c r="L79" s="8">
        <f>SUM(L67:L78)</f>
        <v>5048237</v>
      </c>
      <c r="M79" s="1882">
        <f>+L79-H79</f>
        <v>-1015751</v>
      </c>
      <c r="O79" s="1527">
        <f>IF(L79=0,"0.00%",(P79-L79)/L79)</f>
        <v>1.4999890060629087E-2</v>
      </c>
      <c r="P79" s="8">
        <f>SUM(P67:P78)</f>
        <v>5123960</v>
      </c>
      <c r="Q79" s="1882">
        <f>+P79-L79</f>
        <v>75723</v>
      </c>
      <c r="S79" s="130">
        <f>IF(P79=0,"0.00%",(T79-P79)/P79)</f>
        <v>-0.96929191484711041</v>
      </c>
      <c r="T79" s="8">
        <f>SUM(T67:T78)</f>
        <v>157347</v>
      </c>
      <c r="U79" s="124"/>
      <c r="W79" s="130">
        <f>IF(T79=0,"0.00%",(X79-T79)/T79)</f>
        <v>2.0000381322808822E-2</v>
      </c>
      <c r="X79" s="8">
        <f>SUM(X67:X78)</f>
        <v>160494</v>
      </c>
      <c r="Y79" s="124"/>
      <c r="AA79" s="130">
        <f>IF(X79=0,"0.00%",(AB79-X79)/X79)</f>
        <v>2.0000747691502486E-2</v>
      </c>
      <c r="AB79" s="8">
        <f>SUM(AB67:AB78)</f>
        <v>163704</v>
      </c>
      <c r="AC79" s="124"/>
    </row>
    <row r="80" spans="1:29" x14ac:dyDescent="0.25">
      <c r="A80" s="66"/>
      <c r="B80" s="1374" t="s">
        <v>28</v>
      </c>
      <c r="H80" s="2"/>
      <c r="L80" s="2"/>
      <c r="M80" s="1394"/>
      <c r="Q80" s="1394"/>
      <c r="U80" s="124"/>
      <c r="Y80" s="124"/>
      <c r="AC80" s="124"/>
    </row>
    <row r="81" spans="1:29" x14ac:dyDescent="0.25">
      <c r="A81" s="57"/>
      <c r="B81" s="1380" t="s">
        <v>27</v>
      </c>
      <c r="H81" s="2"/>
      <c r="L81" s="2"/>
      <c r="M81" s="1394"/>
      <c r="Q81" s="1394"/>
      <c r="U81" s="124"/>
      <c r="Y81" s="124"/>
      <c r="AC81" s="124"/>
    </row>
    <row r="82" spans="1:29" x14ac:dyDescent="0.25">
      <c r="A82" s="66"/>
      <c r="B82" s="1384" t="s">
        <v>83</v>
      </c>
      <c r="C82" s="1249" t="s">
        <v>76</v>
      </c>
      <c r="D82" s="1419">
        <v>3623419</v>
      </c>
      <c r="E82" s="1257" t="str">
        <f>TEXT('MYP Assumptions'!$D$52,"0.00%")&amp;", STRS rate"</f>
        <v>12.58%, STRS rate</v>
      </c>
      <c r="G82" s="1527">
        <f t="shared" ref="G82:G91" si="43">IF(D82=0,"0.00%",(H82-D82)/D82)</f>
        <v>0.15495420209476188</v>
      </c>
      <c r="H82" s="2">
        <v>4184883</v>
      </c>
      <c r="I82" s="1257" t="str">
        <f>TEXT('MYP Assumptions'!E52,"0.00%")&amp;", projected STRS rate"</f>
        <v>14.43%, projected STRS rate</v>
      </c>
      <c r="K82" s="1527">
        <f t="shared" ref="K82:K91" si="44">IF(H82=0,"0.00%",(L82-H82)/H82)</f>
        <v>0.12729866044044719</v>
      </c>
      <c r="L82" s="2">
        <f>ROUND(L64*LEFT(M82,6),0)</f>
        <v>4717613</v>
      </c>
      <c r="M82" s="1518" t="str">
        <f>TEXT('MYP Assumptions'!F52,"0.00%")&amp;", projected STRS rate"</f>
        <v>16.28%, projected STRS rate</v>
      </c>
      <c r="O82" s="1527">
        <f t="shared" ref="O82:O91" si="45">IF(L82=0,"0.00%",(P82-L82)/L82)</f>
        <v>0.12999179881859746</v>
      </c>
      <c r="P82" s="2">
        <f>ROUND(P64*LEFT(Q82,6),0)</f>
        <v>5330864</v>
      </c>
      <c r="Q82" s="1518" t="str">
        <f>TEXT('MYP Assumptions'!G52,"0.00%")&amp;", projected STRS rate"</f>
        <v>18.13%, projected STRS rate</v>
      </c>
      <c r="S82" s="130">
        <f t="shared" ref="S82:S91" si="46">IF(P82=0,"0.00%",(T82-P82)/P82)</f>
        <v>-5.117894585192944E-2</v>
      </c>
      <c r="T82" s="2">
        <f>ROUND(T64*LEFT(U82,6),0)</f>
        <v>5058036</v>
      </c>
      <c r="U82" s="36" t="str">
        <f>TEXT('MYP Assumptions'!H52,"0.00%")&amp;", projected STRS rate"</f>
        <v>19.10%, projected STRS rate</v>
      </c>
      <c r="W82" s="130">
        <f t="shared" ref="W82:W91" si="47">IF(T82=0,"0.00%",(X82-T82)/T82)</f>
        <v>2.000005535745495E-2</v>
      </c>
      <c r="X82" s="2">
        <f>ROUND(X64*LEFT(Y82,6),0)</f>
        <v>5159197</v>
      </c>
      <c r="Y82" s="36" t="str">
        <f>TEXT('MYP Assumptions'!I52,"0.00%")&amp;", projected STRS rate"</f>
        <v>19.10%, projected STRS rate</v>
      </c>
      <c r="AA82" s="130">
        <f t="shared" ref="AA82:AA91" si="48">IF(X82=0,"0.00%",(AB82-X82)/X82)</f>
        <v>2.0000011629716794E-2</v>
      </c>
      <c r="AB82" s="2">
        <f>ROUND(AB64*LEFT(AC82,6),0)</f>
        <v>5262381</v>
      </c>
      <c r="AC82" s="36" t="str">
        <f>TEXT('MYP Assumptions'!J52,"0.00%")&amp;", projected STRS rate"</f>
        <v>19.10%, projected STRS rate</v>
      </c>
    </row>
    <row r="83" spans="1:29" x14ac:dyDescent="0.25">
      <c r="A83" s="66"/>
      <c r="B83" s="1384" t="s">
        <v>84</v>
      </c>
      <c r="C83" s="1249" t="s">
        <v>77</v>
      </c>
      <c r="D83" s="1419">
        <v>745122</v>
      </c>
      <c r="E83" s="1257" t="str">
        <f>TEXT('MYP Assumptions'!$D$53,"0.00%")&amp;", PERS rate"</f>
        <v>13.89%, PERS rate</v>
      </c>
      <c r="G83" s="1527">
        <f t="shared" si="43"/>
        <v>0.26394201218055569</v>
      </c>
      <c r="H83" s="2">
        <v>941791</v>
      </c>
      <c r="I83" s="1257" t="str">
        <f>TEXT('MYP Assumptions'!E53,"0.00%")&amp;", projected PERS rate"</f>
        <v>15.53%, projected PERS rate</v>
      </c>
      <c r="K83" s="1527">
        <f t="shared" si="44"/>
        <v>-2.9794296186733574E-2</v>
      </c>
      <c r="L83" s="2">
        <f>ROUND(L79*LEFT(M83,6),0)</f>
        <v>913731</v>
      </c>
      <c r="M83" s="1518" t="str">
        <f>TEXT('MYP Assumptions'!F53,"0.00%")&amp;", projected PERS rate"</f>
        <v>18.10%, projected PERS rate</v>
      </c>
      <c r="O83" s="1527">
        <f t="shared" si="45"/>
        <v>0.1664089321693146</v>
      </c>
      <c r="P83" s="2">
        <f>ROUND(P79*LEFT(Q83,6),0)</f>
        <v>1065784</v>
      </c>
      <c r="Q83" s="1518" t="str">
        <f>TEXT('MYP Assumptions'!G53,"0.00%")&amp;", projected PERS rate"</f>
        <v>20.80%, projected PERS rate</v>
      </c>
      <c r="S83" s="130">
        <f t="shared" si="46"/>
        <v>-0.96486248620733661</v>
      </c>
      <c r="T83" s="2">
        <f>ROUND(T79*LEFT(U83,6),0)</f>
        <v>37449</v>
      </c>
      <c r="U83" s="36" t="str">
        <f>TEXT('MYP Assumptions'!H53,"0.00%")&amp;", projected PERS rate"</f>
        <v>23.80%, projected PERS rate</v>
      </c>
      <c r="W83" s="130">
        <f t="shared" si="47"/>
        <v>7.9975433255894679E-2</v>
      </c>
      <c r="X83" s="2">
        <f>ROUND(X79*LEFT(Y83,6),0)</f>
        <v>40444</v>
      </c>
      <c r="Y83" s="36" t="str">
        <f>TEXT('MYP Assumptions'!I53,"0.00%")&amp;", projected PERS rate"</f>
        <v>25.20%, projected PERS rate</v>
      </c>
      <c r="AA83" s="130">
        <f t="shared" si="48"/>
        <v>5.6448422510137472E-2</v>
      </c>
      <c r="AB83" s="2">
        <f>ROUND(AB79*LEFT(AC83,6),0)</f>
        <v>42727</v>
      </c>
      <c r="AC83" s="36" t="str">
        <f>TEXT('MYP Assumptions'!J53,"0.00%")&amp;", projected PERS rate"</f>
        <v>26.10%, projected PERS rate</v>
      </c>
    </row>
    <row r="84" spans="1:29" x14ac:dyDescent="0.25">
      <c r="A84" s="66"/>
      <c r="B84" s="1384" t="s">
        <v>85</v>
      </c>
      <c r="C84" s="1249" t="s">
        <v>78</v>
      </c>
      <c r="D84" s="1419">
        <v>337714</v>
      </c>
      <c r="E84" s="1257" t="str">
        <f>TEXT('MYP Assumptions'!$D$54,"0.00%")&amp;", SS rate"</f>
        <v>6.20%, SS rate</v>
      </c>
      <c r="G84" s="1527">
        <f t="shared" si="43"/>
        <v>0.11718199423180561</v>
      </c>
      <c r="H84" s="2">
        <v>377288</v>
      </c>
      <c r="I84" s="1257" t="str">
        <f>TEXT('MYP Assumptions'!E54,"0.00%")&amp;", no rate change"</f>
        <v>6.20%, no rate change</v>
      </c>
      <c r="K84" s="1527">
        <f t="shared" si="44"/>
        <v>-0.17041888424757745</v>
      </c>
      <c r="L84" s="2">
        <f>ROUND(L79*LEFT(M84,5),0)</f>
        <v>312991</v>
      </c>
      <c r="M84" s="1518" t="str">
        <f>TEXT('MYP Assumptions'!F54,"0.00%")&amp;", no rate change"</f>
        <v>6.20%, no rate change</v>
      </c>
      <c r="O84" s="1527">
        <f t="shared" si="45"/>
        <v>1.5000431322306391E-2</v>
      </c>
      <c r="P84" s="2">
        <f>ROUND(P79*LEFT(Q84,5),0)</f>
        <v>317686</v>
      </c>
      <c r="Q84" s="1518" t="str">
        <f>TEXT('MYP Assumptions'!G54,"0.00%")&amp;", no rate change"</f>
        <v>6.20%, no rate change</v>
      </c>
      <c r="S84" s="130">
        <f t="shared" si="46"/>
        <v>-0.96929043143229476</v>
      </c>
      <c r="T84" s="2">
        <f>ROUND(T79*LEFT(U84,5),0)</f>
        <v>9756</v>
      </c>
      <c r="U84" s="36" t="str">
        <f>TEXT('MYP Assumptions'!H54,"0.00%")&amp;", no rate change"</f>
        <v>6.20%, no rate change</v>
      </c>
      <c r="W84" s="130">
        <f t="shared" si="47"/>
        <v>1.998769987699877E-2</v>
      </c>
      <c r="X84" s="2">
        <f>ROUND(X79*LEFT(Y84,5),0)</f>
        <v>9951</v>
      </c>
      <c r="Y84" s="36" t="str">
        <f>TEXT('MYP Assumptions'!I54,"0.00%")&amp;", no rate change"</f>
        <v>6.20%, no rate change</v>
      </c>
      <c r="AA84" s="130">
        <f t="shared" si="48"/>
        <v>1.9997990151743545E-2</v>
      </c>
      <c r="AB84" s="2">
        <f>ROUND(AB79*LEFT(AC84,5),0)</f>
        <v>10150</v>
      </c>
      <c r="AC84" s="36" t="str">
        <f>TEXT('MYP Assumptions'!J54,"0.00%")&amp;", no rate change"</f>
        <v>6.20%, no rate change</v>
      </c>
    </row>
    <row r="85" spans="1:29" x14ac:dyDescent="0.25">
      <c r="A85" s="66"/>
      <c r="B85" s="1384" t="s">
        <v>86</v>
      </c>
      <c r="C85" s="1249" t="s">
        <v>79</v>
      </c>
      <c r="D85" s="1419">
        <v>488705</v>
      </c>
      <c r="E85" s="1257" t="str">
        <f>TEXT('MYP Assumptions'!$D$55,"0.00%")&amp;", Medicare rate"</f>
        <v>1.45%, Medicare rate</v>
      </c>
      <c r="G85" s="1527">
        <f t="shared" si="43"/>
        <v>4.9258755281816231E-2</v>
      </c>
      <c r="H85" s="2">
        <f>424530+88248</f>
        <v>512778</v>
      </c>
      <c r="I85" s="1257" t="str">
        <f>TEXT('MYP Assumptions'!E55,"0.00%")&amp;", no rate change"</f>
        <v>1.45%, no rate change</v>
      </c>
      <c r="K85" s="1527">
        <f t="shared" si="44"/>
        <v>-3.7829236043668023E-2</v>
      </c>
      <c r="L85" s="2">
        <f>ROUND((L79+L64)*LEFT(M85,5),0)</f>
        <v>493380</v>
      </c>
      <c r="M85" s="1518" t="str">
        <f>TEXT('MYP Assumptions'!F55,"0.00%")&amp;", no rate change"</f>
        <v>1.45%, no rate change</v>
      </c>
      <c r="O85" s="1527">
        <f t="shared" si="45"/>
        <v>1.4733065791073818E-2</v>
      </c>
      <c r="P85" s="2">
        <f>ROUND((P79+P64)*LEFT(Q85,5),0)</f>
        <v>500649</v>
      </c>
      <c r="Q85" s="1518" t="str">
        <f>TEXT('MYP Assumptions'!G55,"0.00%")&amp;", no rate change"</f>
        <v>1.45%, no rate change</v>
      </c>
      <c r="S85" s="130">
        <f t="shared" si="46"/>
        <v>-0.22846345443614188</v>
      </c>
      <c r="T85" s="2">
        <f>ROUND((T79+T64)*LEFT(U85,5),0)</f>
        <v>386269</v>
      </c>
      <c r="U85" s="36" t="str">
        <f>TEXT('MYP Assumptions'!H55,"0.00%")&amp;", no rate change"</f>
        <v>1.45%, no rate change</v>
      </c>
      <c r="W85" s="130">
        <f t="shared" si="47"/>
        <v>1.9999016229622361E-2</v>
      </c>
      <c r="X85" s="2">
        <f>ROUND((X79+X64)*LEFT(Y85,5),0)</f>
        <v>393994</v>
      </c>
      <c r="Y85" s="36" t="str">
        <f>TEXT('MYP Assumptions'!I55,"0.00%")&amp;", no rate change"</f>
        <v>1.45%, no rate change</v>
      </c>
      <c r="AA85" s="130">
        <f t="shared" si="48"/>
        <v>2.0000304573166088E-2</v>
      </c>
      <c r="AB85" s="2">
        <f>ROUND((AB79+AB64)*LEFT(AC85,5),0)</f>
        <v>401874</v>
      </c>
      <c r="AC85" s="36" t="str">
        <f>TEXT('MYP Assumptions'!J55,"0.00%")&amp;", no rate change"</f>
        <v>1.45%, no rate change</v>
      </c>
    </row>
    <row r="86" spans="1:29" x14ac:dyDescent="0.25">
      <c r="A86" s="66"/>
      <c r="B86" s="1384" t="s">
        <v>87</v>
      </c>
      <c r="C86" s="1249" t="s">
        <v>80</v>
      </c>
      <c r="D86" s="2">
        <f>4072732-447404</f>
        <v>3625328</v>
      </c>
      <c r="E86" s="1257"/>
      <c r="G86" s="1527">
        <f t="shared" si="43"/>
        <v>6.9407237083099788E-2</v>
      </c>
      <c r="H86" s="2">
        <f>3490066+866655-382829-96940</f>
        <v>3876952</v>
      </c>
      <c r="I86" s="1257" t="str">
        <f>TEXT('MYP Assumptions'!$M$62,"0.00%")&amp;", projected increase"</f>
        <v>7.00%, projected increase</v>
      </c>
      <c r="K86" s="1527">
        <f t="shared" si="44"/>
        <v>7.0000092856450119E-2</v>
      </c>
      <c r="L86" s="2">
        <f>ROUND((H86)*(LEFT(M86,5)+1),0)</f>
        <v>4148339</v>
      </c>
      <c r="M86" s="1518" t="str">
        <f>TEXT('MYP Assumptions'!$M$62,"0.00%")&amp;", projected increase"</f>
        <v>7.00%, projected increase</v>
      </c>
      <c r="O86" s="1527">
        <f t="shared" si="45"/>
        <v>7.0000065086291169E-2</v>
      </c>
      <c r="P86" s="2">
        <f>ROUND((L86)*(LEFT(Q86,5)+1),0)</f>
        <v>4438723</v>
      </c>
      <c r="Q86" s="1518" t="str">
        <f>TEXT('MYP Assumptions'!$M$62,"0.00%")&amp;", projected increase"</f>
        <v>7.00%, projected increase</v>
      </c>
      <c r="S86" s="130">
        <f t="shared" si="46"/>
        <v>7.0000087863108379E-2</v>
      </c>
      <c r="T86" s="2">
        <f>ROUND((P86)*(LEFT(U86,5)+1),0)</f>
        <v>4749434</v>
      </c>
      <c r="U86" s="36" t="str">
        <f>TEXT('MYP Assumptions'!$M$62,"0.00%")&amp;", projected increase"</f>
        <v>7.00%, projected increase</v>
      </c>
      <c r="W86" s="130">
        <f t="shared" si="47"/>
        <v>6.9999919990466231E-2</v>
      </c>
      <c r="X86" s="2">
        <f>ROUND((T86)*(LEFT(Y86,5)+1),0)</f>
        <v>5081894</v>
      </c>
      <c r="Y86" s="36" t="str">
        <f>TEXT('MYP Assumptions'!$M$62,"0.00%")&amp;", projected increase"</f>
        <v>7.00%, projected increase</v>
      </c>
      <c r="AA86" s="130">
        <f t="shared" si="48"/>
        <v>7.0000082646351935E-2</v>
      </c>
      <c r="AB86" s="2">
        <f>ROUND((X86)*(LEFT(AC86,5)+1),0)</f>
        <v>5437627</v>
      </c>
      <c r="AC86" s="36" t="str">
        <f>TEXT('MYP Assumptions'!$M$62,"0.00%")&amp;", projected increase"</f>
        <v>7.00%, projected increase</v>
      </c>
    </row>
    <row r="87" spans="1:29" x14ac:dyDescent="0.25">
      <c r="A87" s="66"/>
      <c r="B87" s="1384" t="s">
        <v>88</v>
      </c>
      <c r="C87" s="1249" t="s">
        <v>81</v>
      </c>
      <c r="D87" s="1420">
        <v>17087</v>
      </c>
      <c r="E87" s="1257" t="str">
        <f>TEXT('MYP Assumptions'!$D$56,"0.00%")&amp;", SUI rate"</f>
        <v>0.05%, SUI rate</v>
      </c>
      <c r="G87" s="1527">
        <f t="shared" si="43"/>
        <v>3.6694563118160002E-2</v>
      </c>
      <c r="H87" s="2">
        <f>14658+3056</f>
        <v>17714</v>
      </c>
      <c r="I87" s="1257" t="str">
        <f>TEXT('MYP Assumptions'!E56,"0.00%")&amp;", no rate change"</f>
        <v>0.05%, no rate change</v>
      </c>
      <c r="K87" s="1527">
        <f t="shared" si="44"/>
        <v>-3.9573218922885851E-2</v>
      </c>
      <c r="L87" s="2">
        <f>ROUND((L79+L64)*LEFT(M87,5),0)</f>
        <v>17013</v>
      </c>
      <c r="M87" s="1518" t="str">
        <f>TEXT('MYP Assumptions'!F56,"0.00%")&amp;", no rate change"</f>
        <v>0.05%, no rate change</v>
      </c>
      <c r="O87" s="1527">
        <f t="shared" si="45"/>
        <v>1.4753423852348204E-2</v>
      </c>
      <c r="P87" s="2">
        <f>ROUND((P79+P64)*LEFT(Q87,5),0)</f>
        <v>17264</v>
      </c>
      <c r="Q87" s="1518" t="str">
        <f>TEXT('MYP Assumptions'!G56,"0.00%")&amp;", no rate change"</f>
        <v>0.05%, no rate change</v>
      </c>
      <c r="S87" s="130">
        <f t="shared" si="46"/>
        <v>-0.22845227062094531</v>
      </c>
      <c r="T87" s="2">
        <f>ROUND((T79+T64)*LEFT(U87,5),0)</f>
        <v>13320</v>
      </c>
      <c r="U87" s="36" t="str">
        <f>TEXT('MYP Assumptions'!H56,"0.00%")&amp;", no rate change"</f>
        <v>0.05%, no rate change</v>
      </c>
      <c r="W87" s="130">
        <f t="shared" si="47"/>
        <v>1.996996996996997E-2</v>
      </c>
      <c r="X87" s="2">
        <f>ROUND((X79+X64)*LEFT(Y87,5),0)</f>
        <v>13586</v>
      </c>
      <c r="Y87" s="36" t="str">
        <f>TEXT('MYP Assumptions'!I56,"0.00%")&amp;", no rate change"</f>
        <v>0.05%, no rate change</v>
      </c>
      <c r="AA87" s="130">
        <f t="shared" si="48"/>
        <v>2.0020609450905343E-2</v>
      </c>
      <c r="AB87" s="2">
        <f>ROUND((AB79+AB64)*LEFT(AC87,5),0)</f>
        <v>13858</v>
      </c>
      <c r="AC87" s="36" t="str">
        <f>TEXT('MYP Assumptions'!J56,"0.00%")&amp;", no rate change"</f>
        <v>0.05%, no rate change</v>
      </c>
    </row>
    <row r="88" spans="1:29" x14ac:dyDescent="0.25">
      <c r="A88" s="66"/>
      <c r="B88" s="1384" t="s">
        <v>89</v>
      </c>
      <c r="C88" s="1249" t="s">
        <v>82</v>
      </c>
      <c r="D88" s="1420">
        <v>375830.77</v>
      </c>
      <c r="E88" s="1257" t="str">
        <f>TEXT('MYP Assumptions'!$D$57,"0.00%")&amp;", W/C rate"</f>
        <v>1.10%, W/C rate</v>
      </c>
      <c r="G88" s="1527">
        <f t="shared" si="43"/>
        <v>3.508821270807598E-2</v>
      </c>
      <c r="H88" s="2">
        <f>322072+66946</f>
        <v>389018</v>
      </c>
      <c r="I88" s="1257" t="str">
        <f>TEXT('MYP Assumptions'!E57,"0.00%")&amp;", no rate change"</f>
        <v>1.10%, no rate change</v>
      </c>
      <c r="K88" s="1527">
        <f t="shared" si="44"/>
        <v>-3.7864571819298851E-2</v>
      </c>
      <c r="L88" s="2">
        <f>ROUND((L79+L64)*LEFT(M88,5),0)</f>
        <v>374288</v>
      </c>
      <c r="M88" s="1518" t="str">
        <f>TEXT('MYP Assumptions'!F57,"0.00%")&amp;", no rate change"</f>
        <v>1.10%, no rate change</v>
      </c>
      <c r="O88" s="1527">
        <f t="shared" si="45"/>
        <v>1.4734642841875775E-2</v>
      </c>
      <c r="P88" s="2">
        <f>ROUND((P79+P64)*LEFT(Q88,5),0)</f>
        <v>379803</v>
      </c>
      <c r="Q88" s="1518" t="str">
        <f>TEXT('MYP Assumptions'!G57,"0.00%")&amp;", no rate change"</f>
        <v>1.10%, no rate change</v>
      </c>
      <c r="S88" s="130">
        <f t="shared" si="46"/>
        <v>-0.22846580990671481</v>
      </c>
      <c r="T88" s="2">
        <f>ROUND((T79+T64)*LEFT(U88,5),0)</f>
        <v>293031</v>
      </c>
      <c r="U88" s="36" t="str">
        <f>TEXT('MYP Assumptions'!H57,"0.00%")&amp;", no rate change"</f>
        <v>1.10%, no rate change</v>
      </c>
      <c r="W88" s="130">
        <f t="shared" si="47"/>
        <v>2.0001296791124487E-2</v>
      </c>
      <c r="X88" s="2">
        <f>ROUND((X79+X64)*LEFT(Y88,5),0)</f>
        <v>298892</v>
      </c>
      <c r="Y88" s="36" t="str">
        <f>TEXT('MYP Assumptions'!I57,"0.00%")&amp;", no rate change"</f>
        <v>1.10%, no rate change</v>
      </c>
      <c r="AA88" s="130">
        <f t="shared" si="48"/>
        <v>2.0000535310413126E-2</v>
      </c>
      <c r="AB88" s="2">
        <f>ROUND((AB79+AB64)*LEFT(AC88,5),0)</f>
        <v>304870</v>
      </c>
      <c r="AC88" s="36" t="str">
        <f>TEXT('MYP Assumptions'!J57,"0.00%")&amp;", no rate change"</f>
        <v>1.10%, no rate change</v>
      </c>
    </row>
    <row r="89" spans="1:29" x14ac:dyDescent="0.25">
      <c r="A89" s="66"/>
      <c r="B89" s="1384" t="s">
        <v>495</v>
      </c>
      <c r="C89" s="1249" t="s">
        <v>496</v>
      </c>
      <c r="D89" s="1420">
        <v>337621</v>
      </c>
      <c r="G89" s="1527">
        <f t="shared" si="43"/>
        <v>0.23097793087515292</v>
      </c>
      <c r="H89" s="2">
        <f>371251+44353</f>
        <v>415604</v>
      </c>
      <c r="K89" s="1527">
        <f t="shared" si="44"/>
        <v>0</v>
      </c>
      <c r="L89" s="2">
        <f>H89</f>
        <v>415604</v>
      </c>
      <c r="M89" s="1518" t="s">
        <v>166</v>
      </c>
      <c r="O89" s="1527">
        <f t="shared" si="45"/>
        <v>0</v>
      </c>
      <c r="P89" s="2">
        <f>L89</f>
        <v>415604</v>
      </c>
      <c r="Q89" s="1518" t="s">
        <v>166</v>
      </c>
      <c r="S89" s="130">
        <f t="shared" si="46"/>
        <v>0</v>
      </c>
      <c r="T89" s="2">
        <f>P89</f>
        <v>415604</v>
      </c>
      <c r="U89" s="36" t="s">
        <v>166</v>
      </c>
      <c r="W89" s="130">
        <f t="shared" si="47"/>
        <v>0</v>
      </c>
      <c r="X89" s="2">
        <f>T89</f>
        <v>415604</v>
      </c>
      <c r="Y89" s="36" t="s">
        <v>166</v>
      </c>
      <c r="AA89" s="130">
        <f t="shared" si="48"/>
        <v>0</v>
      </c>
      <c r="AB89" s="2">
        <f>X89</f>
        <v>415604</v>
      </c>
      <c r="AC89" s="36" t="s">
        <v>166</v>
      </c>
    </row>
    <row r="90" spans="1:29" x14ac:dyDescent="0.25">
      <c r="A90" s="66"/>
      <c r="B90" s="1384" t="s">
        <v>91</v>
      </c>
      <c r="C90" s="1249" t="s">
        <v>93</v>
      </c>
      <c r="D90" s="2">
        <f>199112+33865+68380</f>
        <v>301357</v>
      </c>
      <c r="G90" s="1527">
        <f t="shared" ref="G90" si="49">IF(D90=0,"0.00%",(H90-D90)/D90)</f>
        <v>0.10667082563205765</v>
      </c>
      <c r="H90" s="2">
        <f>3000+33480+3252+55070+18240+220461</f>
        <v>333503</v>
      </c>
      <c r="K90" s="1527">
        <f t="shared" ref="K90" si="50">IF(H90=0,"0.00%",(L90-H90)/H90)</f>
        <v>6.9999370320506862E-2</v>
      </c>
      <c r="L90" s="2">
        <f>ROUND((H90)*(LEFT(M90,5)+1),0)</f>
        <v>356848</v>
      </c>
      <c r="M90" s="1518" t="str">
        <f>TEXT('MYP Assumptions'!$M$62,"0.00%")&amp;", projected increase"</f>
        <v>7.00%, projected increase</v>
      </c>
      <c r="O90" s="1527">
        <f t="shared" ref="O90" si="51">IF(L90=0,"0.00%",(P90-L90)/L90)</f>
        <v>6.999899116710756E-2</v>
      </c>
      <c r="P90" s="2">
        <f>ROUND((L90)*(LEFT(Q90,5)+1),0)</f>
        <v>381827</v>
      </c>
      <c r="Q90" s="1518" t="str">
        <f>TEXT('MYP Assumptions'!$M$62,"0.00%")&amp;", projected increase"</f>
        <v>7.00%, projected increase</v>
      </c>
      <c r="S90" s="130"/>
      <c r="U90" s="36"/>
      <c r="W90" s="130"/>
      <c r="Y90" s="36"/>
      <c r="AA90" s="130"/>
      <c r="AC90" s="36"/>
    </row>
    <row r="91" spans="1:29" x14ac:dyDescent="0.25">
      <c r="A91" s="29"/>
      <c r="B91" s="1384"/>
      <c r="D91" s="8">
        <f>SUM(D82:D90)</f>
        <v>9852183.7699999996</v>
      </c>
      <c r="G91" s="1527">
        <f t="shared" si="43"/>
        <v>0.12153115065168953</v>
      </c>
      <c r="H91" s="8">
        <f>SUM(H82:H90)</f>
        <v>11049531</v>
      </c>
      <c r="I91" s="1882">
        <f>+H91-D91</f>
        <v>1197347.2300000004</v>
      </c>
      <c r="J91" s="29"/>
      <c r="K91" s="1527">
        <f t="shared" si="44"/>
        <v>6.3376083564089733E-2</v>
      </c>
      <c r="L91" s="8">
        <f>SUM(L82:L90)</f>
        <v>11749807</v>
      </c>
      <c r="M91" s="1882">
        <f>+L91-H91</f>
        <v>700276</v>
      </c>
      <c r="O91" s="1527">
        <f t="shared" si="45"/>
        <v>9.3482131238410981E-2</v>
      </c>
      <c r="P91" s="8">
        <f>SUM(P82:P90)</f>
        <v>12848204</v>
      </c>
      <c r="Q91" s="1882">
        <f>+P91-L91</f>
        <v>1098397</v>
      </c>
      <c r="S91" s="130">
        <f t="shared" si="46"/>
        <v>-0.14673685131400466</v>
      </c>
      <c r="T91" s="8">
        <f>SUM(T82:T90)</f>
        <v>10962899</v>
      </c>
      <c r="U91" s="124"/>
      <c r="W91" s="130">
        <f t="shared" si="47"/>
        <v>4.1108013491686822E-2</v>
      </c>
      <c r="X91" s="8">
        <f>SUM(X82:X90)</f>
        <v>11413562</v>
      </c>
      <c r="Y91" s="124"/>
      <c r="AA91" s="130">
        <f t="shared" si="48"/>
        <v>4.1663505222996992E-2</v>
      </c>
      <c r="AB91" s="8">
        <f>SUM(AB82:AB90)</f>
        <v>11889091</v>
      </c>
      <c r="AC91" s="124"/>
    </row>
    <row r="92" spans="1:29" x14ac:dyDescent="0.25">
      <c r="A92" s="57"/>
      <c r="B92" s="1384"/>
      <c r="H92" s="2"/>
      <c r="L92" s="2"/>
      <c r="M92" s="1394"/>
      <c r="Q92" s="1394"/>
      <c r="U92" s="124"/>
      <c r="Y92" s="124"/>
      <c r="AC92" s="124"/>
    </row>
    <row r="93" spans="1:29" x14ac:dyDescent="0.25">
      <c r="A93" s="29"/>
      <c r="B93" s="1380" t="s">
        <v>26</v>
      </c>
      <c r="D93" s="8">
        <f>SUM(D91,D79,D64)</f>
        <v>44639410.769999996</v>
      </c>
      <c r="G93" s="1527">
        <f>IF(D93=0,"0.00%",(H93-D93)/D93)</f>
        <v>3.304952293392479E-2</v>
      </c>
      <c r="H93" s="8">
        <f>SUM(H91,H79,H64)</f>
        <v>46114722</v>
      </c>
      <c r="I93" s="1882">
        <f>+H93-D93</f>
        <v>1475311.2300000042</v>
      </c>
      <c r="J93" s="29"/>
      <c r="K93" s="1527">
        <f>IF(H93=0,"0.00%",(L93-H93)/H93)</f>
        <v>-7.3449645863635478E-3</v>
      </c>
      <c r="L93" s="8">
        <f>SUM(L91,L79,L64)</f>
        <v>45776011</v>
      </c>
      <c r="M93" s="1882">
        <f>+L93-H93</f>
        <v>-338711</v>
      </c>
      <c r="O93" s="1527">
        <f>IF(L93=0,"0.00%",(P93-L93)/L93)</f>
        <v>3.4946360878845471E-2</v>
      </c>
      <c r="P93" s="8">
        <f>SUM(P91,P79,P64)</f>
        <v>47375716</v>
      </c>
      <c r="Q93" s="1882">
        <f>+P93-L93</f>
        <v>1599705</v>
      </c>
      <c r="S93" s="130">
        <f>IF(P93=0,"0.00%",(T93-P93)/P93)</f>
        <v>-0.206299890011161</v>
      </c>
      <c r="T93" s="8">
        <f>SUM(T91,T79,T64)</f>
        <v>37602111</v>
      </c>
      <c r="U93" s="124"/>
      <c r="W93" s="130">
        <f>IF(T93=0,"0.00%",(X93-T93)/T93)</f>
        <v>2.6154036936915589E-2</v>
      </c>
      <c r="X93" s="8">
        <f>SUM(X91,X79,X64)</f>
        <v>38585558</v>
      </c>
      <c r="Y93" s="124"/>
      <c r="AA93" s="130">
        <f>IF(X93=0,"0.00%",(AB93-X93)/X93)</f>
        <v>2.6408041060336618E-2</v>
      </c>
      <c r="AB93" s="8">
        <f>SUM(AB91,AB79,AB64)</f>
        <v>39604527</v>
      </c>
      <c r="AC93" s="124"/>
    </row>
    <row r="94" spans="1:29" x14ac:dyDescent="0.25">
      <c r="A94" s="66"/>
      <c r="H94" s="2"/>
      <c r="L94" s="2"/>
      <c r="M94" s="1394"/>
      <c r="Q94" s="1394"/>
      <c r="U94" s="124"/>
      <c r="Y94" s="124"/>
      <c r="AC94" s="124"/>
    </row>
    <row r="95" spans="1:29" x14ac:dyDescent="0.25">
      <c r="A95" s="66"/>
      <c r="H95" s="2"/>
      <c r="L95" s="2"/>
      <c r="M95" s="1394"/>
      <c r="Q95" s="1394"/>
      <c r="U95" s="124"/>
      <c r="Y95" s="124"/>
      <c r="AC95" s="124"/>
    </row>
    <row r="96" spans="1:29" x14ac:dyDescent="0.25">
      <c r="A96" s="66"/>
      <c r="B96" s="1353" t="s">
        <v>25</v>
      </c>
      <c r="C96" s="1250"/>
      <c r="D96" s="490" t="s">
        <v>494</v>
      </c>
      <c r="H96" s="616"/>
      <c r="L96" s="616"/>
      <c r="M96" s="1518"/>
      <c r="P96" s="616"/>
      <c r="Q96" s="1518"/>
      <c r="U96" s="124"/>
      <c r="Y96" s="124"/>
      <c r="AC96" s="124"/>
    </row>
    <row r="97" spans="1:29" x14ac:dyDescent="0.25">
      <c r="A97" s="66"/>
      <c r="B97" s="1384" t="s">
        <v>429</v>
      </c>
      <c r="C97" s="1249" t="s">
        <v>870</v>
      </c>
      <c r="D97" s="2">
        <v>4104</v>
      </c>
      <c r="G97" s="1527">
        <f t="shared" ref="G97:G107" si="52">IF(D97=0,"0.00%",(H97-D97)/D97)</f>
        <v>-0.68957115009746583</v>
      </c>
      <c r="H97" s="2">
        <v>1274</v>
      </c>
      <c r="K97" s="1527">
        <f t="shared" ref="K97:K107" si="53">IF(H97=0,"0.00%",(L97-H97)/H97)</f>
        <v>-5.8084772370486655E-2</v>
      </c>
      <c r="L97" s="2">
        <v>1200</v>
      </c>
      <c r="M97" s="1518"/>
      <c r="O97" s="1527">
        <f t="shared" ref="O97:O107" si="54">IF(L97=0,"0.00%",(P97-L97)/L97)</f>
        <v>0</v>
      </c>
      <c r="P97" s="2">
        <f>+(1-$P$96)*L97</f>
        <v>1200</v>
      </c>
      <c r="Q97" s="1518"/>
      <c r="S97" s="130">
        <f t="shared" ref="S97:S107" si="55">IF(P97=0,"0.00%",(T97-P97)/P97)</f>
        <v>2.75E-2</v>
      </c>
      <c r="T97" s="2">
        <f>ROUND(P97*(LEFT(U97,5)+1),0)</f>
        <v>1233</v>
      </c>
      <c r="U97" s="36" t="str">
        <f>TEXT('MYP Assumptions'!H72,"0.00%")&amp;", CPI"</f>
        <v>2.73%, CPI</v>
      </c>
      <c r="W97" s="130">
        <f t="shared" ref="W97:W107" si="56">IF(T97=0,"0.00%",(X97-T97)/T97)</f>
        <v>2.7575020275750203E-2</v>
      </c>
      <c r="X97" s="2">
        <f>ROUND(T97*(LEFT(Y97,5)+1),0)</f>
        <v>1267</v>
      </c>
      <c r="Y97" s="36" t="str">
        <f>TEXT('MYP Assumptions'!I72,"0.00%")&amp;", CPI"</f>
        <v>2.73%, CPI</v>
      </c>
      <c r="AA97" s="130">
        <f t="shared" ref="AA97:AA107" si="57">IF(X97=0,"0.00%",(AB97-X97)/X97)</f>
        <v>2.7624309392265192E-2</v>
      </c>
      <c r="AB97" s="2">
        <f>ROUND(X97*(LEFT(AC97,5)+1),0)</f>
        <v>1302</v>
      </c>
      <c r="AC97" s="36" t="str">
        <f>TEXT('MYP Assumptions'!J72,"0.00%")&amp;", CPI"</f>
        <v>2.73%, CPI</v>
      </c>
    </row>
    <row r="98" spans="1:29" x14ac:dyDescent="0.25">
      <c r="A98" s="66"/>
      <c r="B98" s="1384" t="s">
        <v>429</v>
      </c>
      <c r="C98" s="1249" t="s">
        <v>871</v>
      </c>
      <c r="D98" s="2">
        <v>11951</v>
      </c>
      <c r="G98" s="1527">
        <f t="shared" si="52"/>
        <v>-9.6226257216969289E-3</v>
      </c>
      <c r="H98" s="2">
        <v>11836</v>
      </c>
      <c r="K98" s="1527">
        <f t="shared" si="53"/>
        <v>-0.36633997972287935</v>
      </c>
      <c r="L98" s="2">
        <v>7500</v>
      </c>
      <c r="M98" s="1518"/>
      <c r="O98" s="1527">
        <f t="shared" si="54"/>
        <v>0</v>
      </c>
      <c r="P98" s="2">
        <f t="shared" ref="P98:P102" si="58">+(1-$P$96)*L98</f>
        <v>7500</v>
      </c>
      <c r="Q98" s="1518"/>
      <c r="S98" s="130">
        <f t="shared" si="55"/>
        <v>2.7333333333333334E-2</v>
      </c>
      <c r="T98" s="2">
        <f t="shared" ref="T98:T106" si="59">ROUND(P98*(LEFT(U98,5)+1),0)</f>
        <v>7705</v>
      </c>
      <c r="U98" s="36" t="str">
        <f>TEXT('MYP Assumptions'!H72,"0.00%")&amp;", CPI"</f>
        <v>2.73%, CPI</v>
      </c>
      <c r="W98" s="130">
        <f t="shared" si="56"/>
        <v>2.7255029201817001E-2</v>
      </c>
      <c r="X98" s="2">
        <f t="shared" ref="X98:X106" si="60">ROUND(T98*(LEFT(Y98,5)+1),0)</f>
        <v>7915</v>
      </c>
      <c r="Y98" s="36" t="str">
        <f>TEXT('MYP Assumptions'!I72,"0.00%")&amp;", CPI"</f>
        <v>2.73%, CPI</v>
      </c>
      <c r="AA98" s="130">
        <f t="shared" si="57"/>
        <v>2.7289955780164243E-2</v>
      </c>
      <c r="AB98" s="2">
        <f t="shared" ref="AB98:AB106" si="61">ROUND(X98*(LEFT(AC98,5)+1),0)</f>
        <v>8131</v>
      </c>
      <c r="AC98" s="36" t="str">
        <f>TEXT('MYP Assumptions'!J72,"0.00%")&amp;", CPI"</f>
        <v>2.73%, CPI</v>
      </c>
    </row>
    <row r="99" spans="1:29" x14ac:dyDescent="0.25">
      <c r="A99" s="66"/>
      <c r="B99" s="1384" t="s">
        <v>429</v>
      </c>
      <c r="C99" s="1249" t="s">
        <v>869</v>
      </c>
      <c r="D99" s="2">
        <v>125088</v>
      </c>
      <c r="G99" s="1527">
        <f t="shared" si="52"/>
        <v>-8.0583269378357632E-3</v>
      </c>
      <c r="H99" s="2">
        <v>124080</v>
      </c>
      <c r="K99" s="1527">
        <f t="shared" si="53"/>
        <v>-3.2882011605415859E-2</v>
      </c>
      <c r="L99" s="2">
        <v>120000</v>
      </c>
      <c r="M99" s="1518"/>
      <c r="O99" s="1527">
        <f t="shared" si="54"/>
        <v>0</v>
      </c>
      <c r="P99" s="2">
        <f t="shared" si="58"/>
        <v>120000</v>
      </c>
      <c r="Q99" s="1518"/>
      <c r="S99" s="130">
        <f t="shared" si="55"/>
        <v>2.7300000000000001E-2</v>
      </c>
      <c r="T99" s="2">
        <f t="shared" si="59"/>
        <v>123276</v>
      </c>
      <c r="U99" s="36" t="str">
        <f>TEXT('MYP Assumptions'!H72,"0.00%")&amp;", CPI"</f>
        <v>2.73%, CPI</v>
      </c>
      <c r="W99" s="130">
        <f t="shared" si="56"/>
        <v>2.7296472954995297E-2</v>
      </c>
      <c r="X99" s="2">
        <f t="shared" si="60"/>
        <v>126641</v>
      </c>
      <c r="Y99" s="36" t="str">
        <f>TEXT('MYP Assumptions'!I72,"0.00%")&amp;", CPI"</f>
        <v>2.73%, CPI</v>
      </c>
      <c r="AA99" s="130">
        <f t="shared" si="57"/>
        <v>2.7297636626369026E-2</v>
      </c>
      <c r="AB99" s="2">
        <f t="shared" si="61"/>
        <v>130098</v>
      </c>
      <c r="AC99" s="36" t="str">
        <f>TEXT('MYP Assumptions'!J72,"0.00%")&amp;", CPI"</f>
        <v>2.73%, CPI</v>
      </c>
    </row>
    <row r="100" spans="1:29" x14ac:dyDescent="0.25">
      <c r="A100" s="66"/>
      <c r="B100" s="1384" t="s">
        <v>429</v>
      </c>
      <c r="C100" s="1249" t="s">
        <v>872</v>
      </c>
      <c r="D100" s="2">
        <v>23372</v>
      </c>
      <c r="G100" s="1527">
        <f t="shared" si="52"/>
        <v>-9.5071025158309092E-2</v>
      </c>
      <c r="H100" s="2">
        <v>21150</v>
      </c>
      <c r="K100" s="1527">
        <f t="shared" si="53"/>
        <v>-0.5271867612293144</v>
      </c>
      <c r="L100" s="2">
        <v>10000</v>
      </c>
      <c r="M100" s="1518"/>
      <c r="O100" s="1527">
        <f t="shared" si="54"/>
        <v>0</v>
      </c>
      <c r="P100" s="2">
        <f t="shared" si="58"/>
        <v>10000</v>
      </c>
      <c r="Q100" s="1518"/>
      <c r="S100" s="130">
        <f t="shared" si="55"/>
        <v>2.7300000000000001E-2</v>
      </c>
      <c r="T100" s="2">
        <f t="shared" si="59"/>
        <v>10273</v>
      </c>
      <c r="U100" s="36" t="str">
        <f>TEXT('MYP Assumptions'!H72,"0.00%")&amp;", CPI"</f>
        <v>2.73%, CPI</v>
      </c>
      <c r="W100" s="130">
        <f t="shared" si="56"/>
        <v>2.7255913559816995E-2</v>
      </c>
      <c r="X100" s="2">
        <f t="shared" si="60"/>
        <v>10553</v>
      </c>
      <c r="Y100" s="36" t="str">
        <f>TEXT('MYP Assumptions'!I72,"0.00%")&amp;", CPI"</f>
        <v>2.73%, CPI</v>
      </c>
      <c r="AA100" s="130">
        <f t="shared" si="57"/>
        <v>2.7290817776935469E-2</v>
      </c>
      <c r="AB100" s="2">
        <f t="shared" si="61"/>
        <v>10841</v>
      </c>
      <c r="AC100" s="36" t="str">
        <f>TEXT('MYP Assumptions'!J72,"0.00%")&amp;", CPI"</f>
        <v>2.73%, CPI</v>
      </c>
    </row>
    <row r="101" spans="1:29" x14ac:dyDescent="0.25">
      <c r="A101" s="66"/>
      <c r="B101" s="1384" t="s">
        <v>429</v>
      </c>
      <c r="C101" s="1249" t="s">
        <v>594</v>
      </c>
      <c r="D101" s="2">
        <v>40330</v>
      </c>
      <c r="G101" s="1527">
        <f t="shared" si="52"/>
        <v>-1</v>
      </c>
      <c r="H101" s="2">
        <v>0</v>
      </c>
      <c r="K101" s="1527" t="str">
        <f t="shared" si="53"/>
        <v>0.00%</v>
      </c>
      <c r="L101" s="2">
        <f t="shared" ref="L101:L102" si="62">+(1-$L$96)*H101</f>
        <v>0</v>
      </c>
      <c r="M101" s="1518"/>
      <c r="O101" s="1527" t="str">
        <f t="shared" si="54"/>
        <v>0.00%</v>
      </c>
      <c r="P101" s="2">
        <f t="shared" si="58"/>
        <v>0</v>
      </c>
      <c r="Q101" s="1518"/>
      <c r="S101" s="130" t="str">
        <f t="shared" si="55"/>
        <v>0.00%</v>
      </c>
      <c r="T101" s="2">
        <f t="shared" si="59"/>
        <v>0</v>
      </c>
      <c r="U101" s="36" t="str">
        <f>TEXT('MYP Assumptions'!H72,"0.00%")&amp;", CPI"</f>
        <v>2.73%, CPI</v>
      </c>
      <c r="W101" s="130" t="str">
        <f t="shared" si="56"/>
        <v>0.00%</v>
      </c>
      <c r="X101" s="2">
        <f t="shared" si="60"/>
        <v>0</v>
      </c>
      <c r="Y101" s="36" t="str">
        <f>TEXT('MYP Assumptions'!I72,"0.00%")&amp;", CPI"</f>
        <v>2.73%, CPI</v>
      </c>
      <c r="AA101" s="130" t="str">
        <f t="shared" si="57"/>
        <v>0.00%</v>
      </c>
      <c r="AB101" s="2">
        <f t="shared" si="61"/>
        <v>0</v>
      </c>
      <c r="AC101" s="36" t="str">
        <f>TEXT('MYP Assumptions'!J72,"0.00%")&amp;", CPI"</f>
        <v>2.73%, CPI</v>
      </c>
    </row>
    <row r="102" spans="1:29" x14ac:dyDescent="0.25">
      <c r="A102" s="66"/>
      <c r="B102" s="1384" t="s">
        <v>429</v>
      </c>
      <c r="C102" s="1249" t="s">
        <v>597</v>
      </c>
      <c r="D102" s="2">
        <v>16555</v>
      </c>
      <c r="G102" s="1527">
        <f t="shared" si="52"/>
        <v>-1</v>
      </c>
      <c r="H102" s="2">
        <v>0</v>
      </c>
      <c r="K102" s="1527" t="str">
        <f t="shared" si="53"/>
        <v>0.00%</v>
      </c>
      <c r="L102" s="2">
        <f t="shared" si="62"/>
        <v>0</v>
      </c>
      <c r="M102" s="1518"/>
      <c r="O102" s="1527" t="str">
        <f t="shared" si="54"/>
        <v>0.00%</v>
      </c>
      <c r="P102" s="2">
        <f t="shared" si="58"/>
        <v>0</v>
      </c>
      <c r="Q102" s="1518"/>
      <c r="S102" s="130" t="str">
        <f t="shared" si="55"/>
        <v>0.00%</v>
      </c>
      <c r="T102" s="2">
        <f t="shared" si="59"/>
        <v>0</v>
      </c>
      <c r="U102" s="36" t="str">
        <f>TEXT('MYP Assumptions'!H72,"0.00%")&amp;", CPI"</f>
        <v>2.73%, CPI</v>
      </c>
      <c r="W102" s="130" t="str">
        <f t="shared" si="56"/>
        <v>0.00%</v>
      </c>
      <c r="X102" s="2">
        <f t="shared" si="60"/>
        <v>0</v>
      </c>
      <c r="Y102" s="36" t="str">
        <f>TEXT('MYP Assumptions'!I72,"0.00%")&amp;", CPI"</f>
        <v>2.73%, CPI</v>
      </c>
      <c r="AA102" s="130" t="str">
        <f t="shared" si="57"/>
        <v>0.00%</v>
      </c>
      <c r="AB102" s="2">
        <f t="shared" si="61"/>
        <v>0</v>
      </c>
      <c r="AC102" s="36" t="str">
        <f>TEXT('MYP Assumptions'!J72,"0.00%")&amp;", CPI"</f>
        <v>2.73%, CPI</v>
      </c>
    </row>
    <row r="103" spans="1:29" x14ac:dyDescent="0.25">
      <c r="A103" s="66"/>
      <c r="B103" s="1384"/>
      <c r="G103" s="1527"/>
      <c r="H103" s="2"/>
      <c r="K103" s="1527"/>
      <c r="L103" s="2"/>
      <c r="M103" s="1518"/>
      <c r="O103" s="1527"/>
      <c r="Q103" s="1518"/>
      <c r="S103" s="130"/>
      <c r="U103" s="36"/>
      <c r="W103" s="130"/>
      <c r="Y103" s="36"/>
      <c r="AA103" s="130"/>
      <c r="AC103" s="36"/>
    </row>
    <row r="104" spans="1:29" hidden="1" x14ac:dyDescent="0.25">
      <c r="A104" s="66"/>
      <c r="B104" s="1384"/>
      <c r="D104" s="2">
        <v>0</v>
      </c>
      <c r="G104" s="1527" t="str">
        <f t="shared" si="52"/>
        <v>0.00%</v>
      </c>
      <c r="H104" s="2">
        <f t="shared" ref="H104:H106" si="63">ROUND(D104*(LEFT(I104,5)+1),0)</f>
        <v>0</v>
      </c>
      <c r="I104" s="1257" t="str">
        <f>TEXT('MYP Assumptions'!$E$72,"0.00%")&amp;", CPI"</f>
        <v>3.11%, CPI</v>
      </c>
      <c r="K104" s="1527" t="str">
        <f t="shared" si="53"/>
        <v>0.00%</v>
      </c>
      <c r="L104" s="2">
        <f t="shared" ref="L104:L106" si="64">+(1-L103)*H104</f>
        <v>0</v>
      </c>
      <c r="M104" s="1518" t="str">
        <f t="shared" ref="M104:M106" si="65">TEXT($L$96,"0.00%")&amp;"   reduction"</f>
        <v>0.00%   reduction</v>
      </c>
      <c r="O104" s="1527" t="str">
        <f t="shared" si="54"/>
        <v>0.00%</v>
      </c>
      <c r="P104" s="2">
        <f t="shared" ref="P104:P106" si="66">ROUND(L104*(LEFT(Q104,5)+1),0)</f>
        <v>0</v>
      </c>
      <c r="Q104" s="1518" t="str">
        <f>TEXT('MYP Assumptions'!$G$72,"0.00%")&amp;", CPI"</f>
        <v>2.86%, CPI</v>
      </c>
      <c r="S104" s="130"/>
      <c r="U104" s="36"/>
      <c r="W104" s="130"/>
      <c r="Y104" s="36"/>
      <c r="AA104" s="130"/>
      <c r="AC104" s="36"/>
    </row>
    <row r="105" spans="1:29" hidden="1" x14ac:dyDescent="0.25">
      <c r="A105" s="66"/>
      <c r="B105" s="1384"/>
      <c r="G105" s="1527" t="str">
        <f t="shared" si="52"/>
        <v>0.00%</v>
      </c>
      <c r="H105" s="2">
        <f t="shared" si="63"/>
        <v>0</v>
      </c>
      <c r="I105" s="1257" t="str">
        <f>TEXT('MYP Assumptions'!$E$72,"0.00%")&amp;", CPI"</f>
        <v>3.11%, CPI</v>
      </c>
      <c r="K105" s="1527" t="str">
        <f t="shared" si="53"/>
        <v>0.00%</v>
      </c>
      <c r="L105" s="2">
        <f t="shared" si="64"/>
        <v>0</v>
      </c>
      <c r="M105" s="1518" t="str">
        <f t="shared" si="65"/>
        <v>0.00%   reduction</v>
      </c>
      <c r="O105" s="1527" t="str">
        <f t="shared" si="54"/>
        <v>0.00%</v>
      </c>
      <c r="P105" s="2">
        <f t="shared" si="66"/>
        <v>0</v>
      </c>
      <c r="Q105" s="1518" t="str">
        <f>TEXT('MYP Assumptions'!$G$72,"0.00%")&amp;", CPI"</f>
        <v>2.86%, CPI</v>
      </c>
      <c r="S105" s="130"/>
      <c r="U105" s="36"/>
      <c r="W105" s="130"/>
      <c r="Y105" s="36"/>
      <c r="AA105" s="130"/>
      <c r="AC105" s="36"/>
    </row>
    <row r="106" spans="1:29" hidden="1" x14ac:dyDescent="0.25">
      <c r="A106" s="66"/>
      <c r="B106" s="1384"/>
      <c r="G106" s="1527" t="str">
        <f t="shared" si="52"/>
        <v>0.00%</v>
      </c>
      <c r="H106" s="2">
        <f t="shared" si="63"/>
        <v>0</v>
      </c>
      <c r="I106" s="1257" t="str">
        <f>TEXT('MYP Assumptions'!$E$72,"0.00%")&amp;", CPI"</f>
        <v>3.11%, CPI</v>
      </c>
      <c r="K106" s="1527" t="str">
        <f t="shared" si="53"/>
        <v>0.00%</v>
      </c>
      <c r="L106" s="2">
        <f t="shared" si="64"/>
        <v>0</v>
      </c>
      <c r="M106" s="1518" t="str">
        <f t="shared" si="65"/>
        <v>0.00%   reduction</v>
      </c>
      <c r="O106" s="1527" t="str">
        <f t="shared" si="54"/>
        <v>0.00%</v>
      </c>
      <c r="P106" s="2">
        <f t="shared" si="66"/>
        <v>0</v>
      </c>
      <c r="Q106" s="1518" t="str">
        <f>TEXT('MYP Assumptions'!$G$72,"0.00%")&amp;", CPI"</f>
        <v>2.86%, CPI</v>
      </c>
      <c r="S106" s="130" t="str">
        <f t="shared" si="55"/>
        <v>0.00%</v>
      </c>
      <c r="T106" s="2">
        <f t="shared" si="59"/>
        <v>0</v>
      </c>
      <c r="U106" s="36" t="str">
        <f>TEXT('MYP Assumptions'!H72,"0.00%")&amp;", CPI"</f>
        <v>2.73%, CPI</v>
      </c>
      <c r="W106" s="130" t="str">
        <f t="shared" si="56"/>
        <v>0.00%</v>
      </c>
      <c r="X106" s="2">
        <f t="shared" si="60"/>
        <v>0</v>
      </c>
      <c r="Y106" s="36" t="str">
        <f>TEXT('MYP Assumptions'!I72,"0.00%")&amp;", CPI"</f>
        <v>2.73%, CPI</v>
      </c>
      <c r="AA106" s="130" t="str">
        <f t="shared" si="57"/>
        <v>0.00%</v>
      </c>
      <c r="AB106" s="2">
        <f t="shared" si="61"/>
        <v>0</v>
      </c>
      <c r="AC106" s="36" t="str">
        <f>TEXT('MYP Assumptions'!J72,"0.00%")&amp;", CPI"</f>
        <v>2.73%, CPI</v>
      </c>
    </row>
    <row r="107" spans="1:29" x14ac:dyDescent="0.25">
      <c r="A107" s="29"/>
      <c r="B107" s="1249"/>
      <c r="D107" s="8">
        <f>SUM(D97:D106)</f>
        <v>221400</v>
      </c>
      <c r="G107" s="1527">
        <f t="shared" si="52"/>
        <v>-0.28482384823848239</v>
      </c>
      <c r="H107" s="8">
        <f>SUM(H97:H106)</f>
        <v>158340</v>
      </c>
      <c r="I107" s="1882">
        <f>+H107-D107</f>
        <v>-63060</v>
      </c>
      <c r="J107" s="29"/>
      <c r="K107" s="1527">
        <f t="shared" si="53"/>
        <v>-0.12403688265757232</v>
      </c>
      <c r="L107" s="8">
        <f>SUM(L97:L106)</f>
        <v>138700</v>
      </c>
      <c r="M107" s="1882">
        <f>+L107-H107</f>
        <v>-19640</v>
      </c>
      <c r="O107" s="1527">
        <f t="shared" si="54"/>
        <v>0</v>
      </c>
      <c r="P107" s="8">
        <f>SUM(P97:P106)</f>
        <v>138700</v>
      </c>
      <c r="Q107" s="1882">
        <f>+P107-L107</f>
        <v>0</v>
      </c>
      <c r="S107" s="130">
        <f t="shared" si="55"/>
        <v>2.7303532804614276E-2</v>
      </c>
      <c r="T107" s="8">
        <f>SUM(T97:T106)</f>
        <v>142487</v>
      </c>
      <c r="U107" s="124"/>
      <c r="W107" s="130">
        <f t="shared" si="56"/>
        <v>2.7293718023398625E-2</v>
      </c>
      <c r="X107" s="8">
        <f>SUM(X97:X106)</f>
        <v>146376</v>
      </c>
      <c r="Y107" s="124"/>
      <c r="AA107" s="130">
        <f t="shared" si="57"/>
        <v>2.7299557304476144E-2</v>
      </c>
      <c r="AB107" s="8">
        <f>SUM(AB97:AB106)</f>
        <v>150372</v>
      </c>
      <c r="AC107" s="124"/>
    </row>
    <row r="108" spans="1:29" x14ac:dyDescent="0.25">
      <c r="A108" s="66"/>
      <c r="H108" s="2"/>
      <c r="L108" s="2"/>
      <c r="M108" s="1394"/>
      <c r="Q108" s="1394"/>
      <c r="U108" s="124"/>
      <c r="Y108" s="124"/>
      <c r="AC108" s="124"/>
    </row>
    <row r="109" spans="1:29" s="6" customFormat="1" x14ac:dyDescent="0.25">
      <c r="A109" s="57"/>
      <c r="B109" s="1380" t="s">
        <v>16</v>
      </c>
      <c r="C109" s="1250"/>
      <c r="E109" s="1250"/>
      <c r="G109" s="1539"/>
      <c r="I109" s="1250"/>
      <c r="J109" s="57"/>
      <c r="K109" s="1571"/>
      <c r="M109" s="1395"/>
      <c r="O109" s="1571"/>
      <c r="Q109" s="1395"/>
      <c r="R109" s="431"/>
      <c r="U109" s="129"/>
      <c r="Y109" s="129"/>
      <c r="AC109" s="129"/>
    </row>
    <row r="110" spans="1:29" x14ac:dyDescent="0.25">
      <c r="A110" s="66"/>
      <c r="B110" s="1384" t="s">
        <v>432</v>
      </c>
      <c r="C110" s="1249" t="s">
        <v>430</v>
      </c>
      <c r="D110" s="2">
        <f>1470+175</f>
        <v>1645</v>
      </c>
      <c r="G110" s="1527">
        <f t="shared" ref="G110:G115" si="67">IF(D110=0,"0.00%",(H110-D110)/D110)</f>
        <v>-4.5592705167173252E-2</v>
      </c>
      <c r="H110" s="2">
        <f>1470+100</f>
        <v>1570</v>
      </c>
      <c r="K110" s="1527">
        <f t="shared" ref="K110:K147" si="68">IF(H110=0,"0.00%",(L110-H110)/H110)</f>
        <v>-0.52229299363057324</v>
      </c>
      <c r="L110" s="2">
        <v>750</v>
      </c>
      <c r="M110" s="1518"/>
      <c r="O110" s="1527">
        <f t="shared" ref="O110:O147" si="69">IF(L110=0,"0.00%",(P110-L110)/L110)</f>
        <v>0</v>
      </c>
      <c r="P110" s="2">
        <f>+L110</f>
        <v>750</v>
      </c>
      <c r="Q110" s="1518"/>
      <c r="S110" s="130">
        <f t="shared" ref="S110:S147" si="70">IF(P110=0,"0.00%",(T110-P110)/P110)</f>
        <v>2.6666666666666668E-2</v>
      </c>
      <c r="T110" s="2">
        <f>ROUND(P110*(LEFT(U110,5)+1),0)</f>
        <v>770</v>
      </c>
      <c r="U110" s="36" t="str">
        <f>TEXT('MYP Assumptions'!H72,"0.00%")&amp;", CPI"</f>
        <v>2.73%, CPI</v>
      </c>
      <c r="W110" s="130">
        <f t="shared" ref="W110:W147" si="71">IF(T110=0,"0.00%",(X110-T110)/T110)</f>
        <v>2.7272727272727271E-2</v>
      </c>
      <c r="X110" s="2">
        <f>ROUND(T110*(LEFT(Y110,5)+1),0)</f>
        <v>791</v>
      </c>
      <c r="Y110" s="36" t="str">
        <f>TEXT('MYP Assumptions'!I72,"0.00%")&amp;", CPI"</f>
        <v>2.73%, CPI</v>
      </c>
      <c r="AA110" s="130">
        <f t="shared" ref="AA110:AA147" si="72">IF(X110=0,"0.00%",(AB110-X110)/X110)</f>
        <v>2.7812895069532238E-2</v>
      </c>
      <c r="AB110" s="2">
        <f>ROUND(X110*(LEFT(AC110,5)+1),0)</f>
        <v>813</v>
      </c>
      <c r="AC110" s="36" t="str">
        <f>TEXT('MYP Assumptions'!J72,"0.00%")&amp;", CPI"</f>
        <v>2.73%, CPI</v>
      </c>
    </row>
    <row r="111" spans="1:29" x14ac:dyDescent="0.25">
      <c r="A111" s="66"/>
      <c r="B111" s="1384" t="s">
        <v>497</v>
      </c>
      <c r="C111" s="1249" t="s">
        <v>446</v>
      </c>
      <c r="D111" s="2">
        <v>240349</v>
      </c>
      <c r="G111" s="1527">
        <f t="shared" si="67"/>
        <v>4.9998127722603383E-2</v>
      </c>
      <c r="H111" s="2">
        <v>252366</v>
      </c>
      <c r="I111" s="1516"/>
      <c r="K111" s="1527">
        <f t="shared" si="68"/>
        <v>3.1898116228018039E-2</v>
      </c>
      <c r="L111" s="2">
        <f t="shared" ref="L111:L120" si="73">ROUND(H111*(LEFT(M111,5)+1),0)</f>
        <v>260416</v>
      </c>
      <c r="M111" s="1518" t="str">
        <f>TEXT('MYP Assumptions'!F72,"0.00%")&amp;", CPI"</f>
        <v>3.19%, CPI</v>
      </c>
      <c r="O111" s="1527">
        <f t="shared" si="69"/>
        <v>2.8600393217006637E-2</v>
      </c>
      <c r="P111" s="2">
        <f t="shared" ref="P111:P120" si="74">ROUND(L111*(LEFT(Q111,5)+1),0)</f>
        <v>267864</v>
      </c>
      <c r="Q111" s="1518" t="str">
        <f>TEXT('MYP Assumptions'!G72,"0.00%")&amp;", CPI"</f>
        <v>2.86%, CPI</v>
      </c>
      <c r="S111" s="130">
        <f t="shared" si="70"/>
        <v>2.7301167756772094E-2</v>
      </c>
      <c r="T111" s="2">
        <f t="shared" ref="T111:T121" si="75">ROUND(P111*(LEFT(U111,5)+1),0)</f>
        <v>275177</v>
      </c>
      <c r="U111" s="36" t="str">
        <f>TEXT('MYP Assumptions'!H72,"0.00%")&amp;", CPI"</f>
        <v>2.73%, CPI</v>
      </c>
      <c r="W111" s="130">
        <f t="shared" si="71"/>
        <v>2.7298793140415077E-2</v>
      </c>
      <c r="X111" s="2">
        <f t="shared" ref="X111:X121" si="76">ROUND(T111*(LEFT(Y111,5)+1),0)</f>
        <v>282689</v>
      </c>
      <c r="Y111" s="36" t="str">
        <f>TEXT('MYP Assumptions'!I72,"0.00%")&amp;", CPI"</f>
        <v>2.73%, CPI</v>
      </c>
      <c r="AA111" s="130">
        <f t="shared" si="72"/>
        <v>2.7298550704130689E-2</v>
      </c>
      <c r="AB111" s="2">
        <f t="shared" ref="AB111:AB121" si="77">ROUND(X111*(LEFT(AC111,5)+1),0)</f>
        <v>290406</v>
      </c>
      <c r="AC111" s="36" t="str">
        <f>TEXT('MYP Assumptions'!J72,"0.00%")&amp;", CPI"</f>
        <v>2.73%, CPI</v>
      </c>
    </row>
    <row r="112" spans="1:29" x14ac:dyDescent="0.25">
      <c r="A112" s="66"/>
      <c r="B112" s="1384" t="s">
        <v>498</v>
      </c>
      <c r="C112" s="1249" t="s">
        <v>502</v>
      </c>
      <c r="D112" s="2">
        <v>254815</v>
      </c>
      <c r="G112" s="1527">
        <f t="shared" si="67"/>
        <v>4.4816827894747172E-3</v>
      </c>
      <c r="H112" s="2">
        <v>255957</v>
      </c>
      <c r="K112" s="1527">
        <f t="shared" si="68"/>
        <v>3.1899889434553463E-2</v>
      </c>
      <c r="L112" s="2">
        <f t="shared" si="73"/>
        <v>264122</v>
      </c>
      <c r="M112" s="1518" t="str">
        <f>TEXT('MYP Assumptions'!F72,"0.00%")&amp;", CPI"</f>
        <v>3.19%, CPI</v>
      </c>
      <c r="O112" s="1527">
        <f t="shared" si="69"/>
        <v>2.8600419503108411E-2</v>
      </c>
      <c r="P112" s="2">
        <f t="shared" si="74"/>
        <v>271676</v>
      </c>
      <c r="Q112" s="1518" t="str">
        <f>TEXT('MYP Assumptions'!G72,"0.00%")&amp;", CPI"</f>
        <v>2.86%, CPI</v>
      </c>
      <c r="S112" s="130">
        <f t="shared" si="70"/>
        <v>2.7300902545679413E-2</v>
      </c>
      <c r="T112" s="2">
        <f t="shared" si="75"/>
        <v>279093</v>
      </c>
      <c r="U112" s="36" t="str">
        <f>TEXT('MYP Assumptions'!H72,"0.00%")&amp;", CPI"</f>
        <v>2.73%, CPI</v>
      </c>
      <c r="W112" s="130">
        <f t="shared" si="71"/>
        <v>2.729914401292759E-2</v>
      </c>
      <c r="X112" s="2">
        <f t="shared" si="76"/>
        <v>286712</v>
      </c>
      <c r="Y112" s="36" t="str">
        <f>TEXT('MYP Assumptions'!I72,"0.00%")&amp;", CPI"</f>
        <v>2.73%, CPI</v>
      </c>
      <c r="AA112" s="130">
        <f t="shared" si="72"/>
        <v>2.7299171293841903E-2</v>
      </c>
      <c r="AB112" s="2">
        <f t="shared" si="77"/>
        <v>294539</v>
      </c>
      <c r="AC112" s="36" t="str">
        <f>TEXT('MYP Assumptions'!J72,"0.00%")&amp;", CPI"</f>
        <v>2.73%, CPI</v>
      </c>
    </row>
    <row r="113" spans="1:29" x14ac:dyDescent="0.25">
      <c r="A113" s="66"/>
      <c r="B113" s="1384" t="s">
        <v>499</v>
      </c>
      <c r="C113" s="1249" t="s">
        <v>503</v>
      </c>
      <c r="D113" s="2">
        <v>86400</v>
      </c>
      <c r="G113" s="1527">
        <f t="shared" si="67"/>
        <v>-2.8935185185185185E-2</v>
      </c>
      <c r="H113" s="2">
        <v>83900</v>
      </c>
      <c r="K113" s="1527">
        <f t="shared" si="68"/>
        <v>3.1895113230035757E-2</v>
      </c>
      <c r="L113" s="2">
        <f t="shared" si="73"/>
        <v>86576</v>
      </c>
      <c r="M113" s="1518" t="str">
        <f>TEXT('MYP Assumptions'!F72,"0.00%")&amp;", CPI"</f>
        <v>3.19%, CPI</v>
      </c>
      <c r="O113" s="1527">
        <f t="shared" si="69"/>
        <v>2.859914987987433E-2</v>
      </c>
      <c r="P113" s="2">
        <f t="shared" si="74"/>
        <v>89052</v>
      </c>
      <c r="Q113" s="1518" t="str">
        <f>TEXT('MYP Assumptions'!G72,"0.00%")&amp;", CPI"</f>
        <v>2.86%, CPI</v>
      </c>
      <c r="S113" s="130">
        <f t="shared" si="70"/>
        <v>2.7298656964470196E-2</v>
      </c>
      <c r="T113" s="2">
        <f t="shared" si="75"/>
        <v>91483</v>
      </c>
      <c r="U113" s="36" t="str">
        <f>TEXT('MYP Assumptions'!H72,"0.00%")&amp;", CPI"</f>
        <v>2.73%, CPI</v>
      </c>
      <c r="W113" s="130">
        <f t="shared" si="71"/>
        <v>2.7294688630674552E-2</v>
      </c>
      <c r="X113" s="2">
        <f t="shared" si="76"/>
        <v>93980</v>
      </c>
      <c r="Y113" s="36" t="str">
        <f>TEXT('MYP Assumptions'!I72,"0.00%")&amp;", CPI"</f>
        <v>2.73%, CPI</v>
      </c>
      <c r="AA113" s="130">
        <f t="shared" si="72"/>
        <v>2.7303681634390297E-2</v>
      </c>
      <c r="AB113" s="2">
        <f t="shared" si="77"/>
        <v>96546</v>
      </c>
      <c r="AC113" s="36" t="str">
        <f>TEXT('MYP Assumptions'!J72,"0.00%")&amp;", CPI"</f>
        <v>2.73%, CPI</v>
      </c>
    </row>
    <row r="114" spans="1:29" x14ac:dyDescent="0.25">
      <c r="A114" s="66"/>
      <c r="B114" s="1384" t="s">
        <v>500</v>
      </c>
      <c r="C114" s="1249" t="s">
        <v>504</v>
      </c>
      <c r="D114" s="2">
        <v>880251</v>
      </c>
      <c r="G114" s="1527">
        <f t="shared" si="67"/>
        <v>-6.5039403533764806E-2</v>
      </c>
      <c r="H114" s="2">
        <v>823000</v>
      </c>
      <c r="K114" s="1527">
        <f t="shared" si="68"/>
        <v>3.1900364520048602E-2</v>
      </c>
      <c r="L114" s="2">
        <f t="shared" si="73"/>
        <v>849254</v>
      </c>
      <c r="M114" s="1518" t="str">
        <f>TEXT('MYP Assumptions'!F72,"0.00%")&amp;", CPI"</f>
        <v>3.19%, CPI</v>
      </c>
      <c r="O114" s="1527">
        <f t="shared" si="69"/>
        <v>2.8600395170349506E-2</v>
      </c>
      <c r="P114" s="2">
        <f t="shared" si="74"/>
        <v>873543</v>
      </c>
      <c r="Q114" s="1518" t="str">
        <f>TEXT('MYP Assumptions'!G72,"0.00%")&amp;", CPI"</f>
        <v>2.86%, CPI</v>
      </c>
      <c r="S114" s="130">
        <f t="shared" si="70"/>
        <v>2.7300316069157442E-2</v>
      </c>
      <c r="T114" s="2">
        <f t="shared" si="75"/>
        <v>897391</v>
      </c>
      <c r="U114" s="36" t="str">
        <f>TEXT('MYP Assumptions'!H72,"0.00%")&amp;", CPI"</f>
        <v>2.73%, CPI</v>
      </c>
      <c r="W114" s="130">
        <f t="shared" si="71"/>
        <v>2.7300251506868243E-2</v>
      </c>
      <c r="X114" s="2">
        <f t="shared" si="76"/>
        <v>921890</v>
      </c>
      <c r="Y114" s="36" t="str">
        <f>TEXT('MYP Assumptions'!I72,"0.00%")&amp;", CPI"</f>
        <v>2.73%, CPI</v>
      </c>
      <c r="AA114" s="130">
        <f t="shared" si="72"/>
        <v>2.7300437145429499E-2</v>
      </c>
      <c r="AB114" s="2">
        <f t="shared" si="77"/>
        <v>947058</v>
      </c>
      <c r="AC114" s="36" t="str">
        <f>TEXT('MYP Assumptions'!J72,"0.00%")&amp;", CPI"</f>
        <v>2.73%, CPI</v>
      </c>
    </row>
    <row r="115" spans="1:29" x14ac:dyDescent="0.25">
      <c r="A115" s="66"/>
      <c r="B115" s="1384" t="s">
        <v>501</v>
      </c>
      <c r="C115" s="1249" t="s">
        <v>505</v>
      </c>
      <c r="D115" s="2">
        <v>96776</v>
      </c>
      <c r="G115" s="1527">
        <f t="shared" si="67"/>
        <v>0.16488592212945358</v>
      </c>
      <c r="H115" s="2">
        <v>112733</v>
      </c>
      <c r="K115" s="1527">
        <f t="shared" si="68"/>
        <v>3.189837935653269E-2</v>
      </c>
      <c r="L115" s="2">
        <f t="shared" si="73"/>
        <v>116329</v>
      </c>
      <c r="M115" s="1518" t="str">
        <f>TEXT('MYP Assumptions'!F72,"0.00%")&amp;", CPI"</f>
        <v>3.19%, CPI</v>
      </c>
      <c r="O115" s="1527">
        <f t="shared" si="69"/>
        <v>2.8599919194697798E-2</v>
      </c>
      <c r="P115" s="2">
        <f t="shared" si="74"/>
        <v>119656</v>
      </c>
      <c r="Q115" s="1518" t="str">
        <f>TEXT('MYP Assumptions'!G72,"0.00%")&amp;", CPI"</f>
        <v>2.86%, CPI</v>
      </c>
      <c r="S115" s="130">
        <f t="shared" si="70"/>
        <v>2.7303269372200307E-2</v>
      </c>
      <c r="T115" s="2">
        <f t="shared" si="75"/>
        <v>122923</v>
      </c>
      <c r="U115" s="36" t="str">
        <f>TEXT('MYP Assumptions'!H72,"0.00%")&amp;", CPI"</f>
        <v>2.73%, CPI</v>
      </c>
      <c r="W115" s="130">
        <f t="shared" si="71"/>
        <v>2.730164411867592E-2</v>
      </c>
      <c r="X115" s="2">
        <f t="shared" si="76"/>
        <v>126279</v>
      </c>
      <c r="Y115" s="36" t="str">
        <f>TEXT('MYP Assumptions'!I72,"0.00%")&amp;", CPI"</f>
        <v>2.73%, CPI</v>
      </c>
      <c r="AA115" s="130">
        <f t="shared" si="72"/>
        <v>2.7296700163922744E-2</v>
      </c>
      <c r="AB115" s="2">
        <f t="shared" si="77"/>
        <v>129726</v>
      </c>
      <c r="AC115" s="36" t="str">
        <f>TEXT('MYP Assumptions'!J72,"0.00%")&amp;", CPI"</f>
        <v>2.73%, CPI</v>
      </c>
    </row>
    <row r="116" spans="1:29" x14ac:dyDescent="0.25">
      <c r="A116" s="66"/>
      <c r="B116" s="1384" t="s">
        <v>509</v>
      </c>
      <c r="C116" s="1249" t="s">
        <v>506</v>
      </c>
      <c r="D116" s="2">
        <v>3304.78</v>
      </c>
      <c r="G116" s="1527">
        <f>IF(D116=0,"0.00%",(H116-D116)/D116)</f>
        <v>-0.44504626631727379</v>
      </c>
      <c r="H116" s="2">
        <v>1834</v>
      </c>
      <c r="K116" s="1527">
        <f t="shared" si="68"/>
        <v>3.21701199563795E-2</v>
      </c>
      <c r="L116" s="2">
        <f t="shared" si="73"/>
        <v>1893</v>
      </c>
      <c r="M116" s="1518" t="str">
        <f>TEXT('MYP Assumptions'!F72,"0.00%")&amp;", CPI"</f>
        <v>3.19%, CPI</v>
      </c>
      <c r="O116" s="1527">
        <f t="shared" si="69"/>
        <v>2.8526148969889066E-2</v>
      </c>
      <c r="P116" s="2">
        <f t="shared" si="74"/>
        <v>1947</v>
      </c>
      <c r="Q116" s="1518" t="str">
        <f>TEXT('MYP Assumptions'!G72,"0.00%")&amp;", CPI"</f>
        <v>2.86%, CPI</v>
      </c>
      <c r="S116" s="130">
        <f t="shared" si="70"/>
        <v>2.7221366204417053E-2</v>
      </c>
      <c r="T116" s="2">
        <f t="shared" si="75"/>
        <v>2000</v>
      </c>
      <c r="U116" s="36" t="str">
        <f>TEXT('MYP Assumptions'!H72,"0.00%")&amp;", CPI"</f>
        <v>2.73%, CPI</v>
      </c>
      <c r="W116" s="130">
        <f t="shared" si="71"/>
        <v>2.75E-2</v>
      </c>
      <c r="X116" s="2">
        <f t="shared" si="76"/>
        <v>2055</v>
      </c>
      <c r="Y116" s="36" t="str">
        <f>TEXT('MYP Assumptions'!I72,"0.00%")&amp;", CPI"</f>
        <v>2.73%, CPI</v>
      </c>
      <c r="AA116" s="130">
        <f t="shared" si="72"/>
        <v>2.7250608272506083E-2</v>
      </c>
      <c r="AB116" s="2">
        <f t="shared" si="77"/>
        <v>2111</v>
      </c>
      <c r="AC116" s="36" t="str">
        <f>TEXT('MYP Assumptions'!J72,"0.00%")&amp;", CPI"</f>
        <v>2.73%, CPI</v>
      </c>
    </row>
    <row r="117" spans="1:29" x14ac:dyDescent="0.25">
      <c r="A117" s="66"/>
      <c r="B117" s="1384" t="s">
        <v>510</v>
      </c>
      <c r="C117" s="1249" t="s">
        <v>507</v>
      </c>
      <c r="D117" s="2">
        <v>52022.49</v>
      </c>
      <c r="G117" s="1527">
        <f t="shared" ref="G117:G147" si="78">IF(D117=0,"0.00%",(H117-D117)/D117)</f>
        <v>-9.5237463643128156E-2</v>
      </c>
      <c r="H117" s="2">
        <v>47068</v>
      </c>
      <c r="K117" s="1527">
        <f t="shared" si="68"/>
        <v>3.1890031443868448E-2</v>
      </c>
      <c r="L117" s="2">
        <f t="shared" si="73"/>
        <v>48569</v>
      </c>
      <c r="M117" s="1518" t="str">
        <f>TEXT('MYP Assumptions'!F72,"0.00%")&amp;", CPI"</f>
        <v>3.19%, CPI</v>
      </c>
      <c r="O117" s="1527">
        <f t="shared" si="69"/>
        <v>2.8598488747966812E-2</v>
      </c>
      <c r="P117" s="2">
        <f t="shared" si="74"/>
        <v>49958</v>
      </c>
      <c r="Q117" s="1518" t="str">
        <f>TEXT('MYP Assumptions'!G72,"0.00%")&amp;", CPI"</f>
        <v>2.86%, CPI</v>
      </c>
      <c r="S117" s="130">
        <f t="shared" si="70"/>
        <v>2.7302934464950558E-2</v>
      </c>
      <c r="T117" s="2">
        <f t="shared" si="75"/>
        <v>51322</v>
      </c>
      <c r="U117" s="36" t="str">
        <f>TEXT('MYP Assumptions'!H72,"0.00%")&amp;", CPI"</f>
        <v>2.73%, CPI</v>
      </c>
      <c r="W117" s="130">
        <f t="shared" si="71"/>
        <v>2.7298234675188028E-2</v>
      </c>
      <c r="X117" s="2">
        <f t="shared" si="76"/>
        <v>52723</v>
      </c>
      <c r="Y117" s="36" t="str">
        <f>TEXT('MYP Assumptions'!I72,"0.00%")&amp;", CPI"</f>
        <v>2.73%, CPI</v>
      </c>
      <c r="AA117" s="130">
        <f t="shared" si="72"/>
        <v>2.729359103237676E-2</v>
      </c>
      <c r="AB117" s="2">
        <f t="shared" si="77"/>
        <v>54162</v>
      </c>
      <c r="AC117" s="36" t="str">
        <f>TEXT('MYP Assumptions'!J72,"0.00%")&amp;", CPI"</f>
        <v>2.73%, CPI</v>
      </c>
    </row>
    <row r="118" spans="1:29" x14ac:dyDescent="0.25">
      <c r="A118" s="66"/>
      <c r="B118" s="1384" t="s">
        <v>511</v>
      </c>
      <c r="C118" s="1249" t="s">
        <v>508</v>
      </c>
      <c r="D118" s="2">
        <v>198621.18</v>
      </c>
      <c r="G118" s="1527">
        <f t="shared" si="78"/>
        <v>-6.6514457320211232E-2</v>
      </c>
      <c r="H118" s="2">
        <v>185410</v>
      </c>
      <c r="K118" s="1527">
        <f t="shared" si="68"/>
        <v>3.1902270643438868E-2</v>
      </c>
      <c r="L118" s="2">
        <f t="shared" si="73"/>
        <v>191325</v>
      </c>
      <c r="M118" s="1518" t="str">
        <f>TEXT('MYP Assumptions'!F72,"0.00%")&amp;", CPI"</f>
        <v>3.19%, CPI</v>
      </c>
      <c r="O118" s="1527">
        <f t="shared" si="69"/>
        <v>2.8600548804390436E-2</v>
      </c>
      <c r="P118" s="2">
        <f t="shared" si="74"/>
        <v>196797</v>
      </c>
      <c r="Q118" s="1518" t="str">
        <f>TEXT('MYP Assumptions'!G72,"0.00%")&amp;", CPI"</f>
        <v>2.86%, CPI</v>
      </c>
      <c r="S118" s="130">
        <f t="shared" si="70"/>
        <v>2.7302245461058857E-2</v>
      </c>
      <c r="T118" s="2">
        <f t="shared" si="75"/>
        <v>202170</v>
      </c>
      <c r="U118" s="36" t="str">
        <f>TEXT('MYP Assumptions'!H72,"0.00%")&amp;", CPI"</f>
        <v>2.73%, CPI</v>
      </c>
      <c r="W118" s="130">
        <f t="shared" si="71"/>
        <v>2.7298807933917001E-2</v>
      </c>
      <c r="X118" s="2">
        <f t="shared" si="76"/>
        <v>207689</v>
      </c>
      <c r="Y118" s="36" t="str">
        <f>TEXT('MYP Assumptions'!I72,"0.00%")&amp;", CPI"</f>
        <v>2.73%, CPI</v>
      </c>
      <c r="AA118" s="130">
        <f t="shared" si="72"/>
        <v>2.7300434784702128E-2</v>
      </c>
      <c r="AB118" s="2">
        <f t="shared" si="77"/>
        <v>213359</v>
      </c>
      <c r="AC118" s="36" t="str">
        <f>TEXT('MYP Assumptions'!J72,"0.00%")&amp;", CPI"</f>
        <v>2.73%, CPI</v>
      </c>
    </row>
    <row r="119" spans="1:29" x14ac:dyDescent="0.25">
      <c r="A119" s="66"/>
      <c r="B119" s="1384" t="s">
        <v>512</v>
      </c>
      <c r="C119" s="1249" t="s">
        <v>335</v>
      </c>
      <c r="D119" s="2">
        <v>4500</v>
      </c>
      <c r="G119" s="1527">
        <f t="shared" si="78"/>
        <v>-7.7777777777777779E-2</v>
      </c>
      <c r="H119" s="2">
        <v>4150</v>
      </c>
      <c r="K119" s="1527">
        <f t="shared" si="68"/>
        <v>3.180722891566265E-2</v>
      </c>
      <c r="L119" s="2">
        <f t="shared" si="73"/>
        <v>4282</v>
      </c>
      <c r="M119" s="1518" t="str">
        <f>TEXT('MYP Assumptions'!F72,"0.00%")&amp;", CPI"</f>
        <v>3.19%, CPI</v>
      </c>
      <c r="O119" s="1527">
        <f t="shared" si="69"/>
        <v>2.8491359177954229E-2</v>
      </c>
      <c r="P119" s="2">
        <f t="shared" si="74"/>
        <v>4404</v>
      </c>
      <c r="Q119" s="1518" t="str">
        <f>TEXT('MYP Assumptions'!G72,"0.00%")&amp;", CPI"</f>
        <v>2.86%, CPI</v>
      </c>
      <c r="S119" s="130">
        <f t="shared" si="70"/>
        <v>2.7247956403269755E-2</v>
      </c>
      <c r="T119" s="2">
        <f t="shared" si="75"/>
        <v>4524</v>
      </c>
      <c r="U119" s="36" t="str">
        <f>TEXT('MYP Assumptions'!H72,"0.00%")&amp;", CPI"</f>
        <v>2.73%, CPI</v>
      </c>
      <c r="W119" s="130">
        <f t="shared" si="71"/>
        <v>2.7409372236958444E-2</v>
      </c>
      <c r="X119" s="2">
        <f t="shared" si="76"/>
        <v>4648</v>
      </c>
      <c r="Y119" s="36" t="str">
        <f>TEXT('MYP Assumptions'!I72,"0.00%")&amp;", CPI"</f>
        <v>2.73%, CPI</v>
      </c>
      <c r="AA119" s="130">
        <f t="shared" si="72"/>
        <v>2.7323580034423409E-2</v>
      </c>
      <c r="AB119" s="2">
        <f t="shared" si="77"/>
        <v>4775</v>
      </c>
      <c r="AC119" s="36" t="str">
        <f>TEXT('MYP Assumptions'!J72,"0.00%")&amp;", CPI"</f>
        <v>2.73%, CPI</v>
      </c>
    </row>
    <row r="120" spans="1:29" x14ac:dyDescent="0.25">
      <c r="A120" s="66"/>
      <c r="B120" s="1384" t="s">
        <v>513</v>
      </c>
      <c r="C120" s="1249" t="s">
        <v>453</v>
      </c>
      <c r="D120" s="2">
        <v>2113</v>
      </c>
      <c r="G120" s="1527">
        <f t="shared" si="78"/>
        <v>-5.3478466635115948E-2</v>
      </c>
      <c r="H120" s="2">
        <v>2000</v>
      </c>
      <c r="K120" s="1527">
        <f t="shared" si="68"/>
        <v>3.2000000000000001E-2</v>
      </c>
      <c r="L120" s="2">
        <f t="shared" si="73"/>
        <v>2064</v>
      </c>
      <c r="M120" s="1518" t="str">
        <f>TEXT('MYP Assumptions'!F72,"0.00%")&amp;", CPI"</f>
        <v>3.19%, CPI</v>
      </c>
      <c r="O120" s="1527">
        <f t="shared" si="69"/>
        <v>2.8585271317829456E-2</v>
      </c>
      <c r="P120" s="2">
        <f t="shared" si="74"/>
        <v>2123</v>
      </c>
      <c r="Q120" s="1518" t="str">
        <f>TEXT('MYP Assumptions'!G72,"0.00%")&amp;", CPI"</f>
        <v>2.86%, CPI</v>
      </c>
      <c r="S120" s="130">
        <f t="shared" si="70"/>
        <v>2.7319830428638718E-2</v>
      </c>
      <c r="T120" s="2">
        <f t="shared" si="75"/>
        <v>2181</v>
      </c>
      <c r="U120" s="36" t="str">
        <f>TEXT('MYP Assumptions'!H72,"0.00%")&amp;", CPI"</f>
        <v>2.73%, CPI</v>
      </c>
      <c r="W120" s="130">
        <f t="shared" si="71"/>
        <v>2.7510316368638238E-2</v>
      </c>
      <c r="X120" s="2">
        <f t="shared" si="76"/>
        <v>2241</v>
      </c>
      <c r="Y120" s="36" t="str">
        <f>TEXT('MYP Assumptions'!I72,"0.00%")&amp;", CPI"</f>
        <v>2.73%, CPI</v>
      </c>
      <c r="AA120" s="130">
        <f t="shared" si="72"/>
        <v>2.7219991075412762E-2</v>
      </c>
      <c r="AB120" s="2">
        <f t="shared" si="77"/>
        <v>2302</v>
      </c>
      <c r="AC120" s="36" t="str">
        <f>TEXT('MYP Assumptions'!J72,"0.00%")&amp;", CPI"</f>
        <v>2.73%, CPI</v>
      </c>
    </row>
    <row r="121" spans="1:29" x14ac:dyDescent="0.25">
      <c r="A121" s="66"/>
      <c r="B121" s="1384" t="s">
        <v>128</v>
      </c>
      <c r="C121" s="1249" t="s">
        <v>129</v>
      </c>
      <c r="D121" s="2">
        <v>8776</v>
      </c>
      <c r="G121" s="1527">
        <f t="shared" si="78"/>
        <v>-0.33716955332725618</v>
      </c>
      <c r="H121" s="2">
        <v>5817</v>
      </c>
      <c r="K121" s="1527">
        <f t="shared" si="68"/>
        <v>3.1975244971634863E-2</v>
      </c>
      <c r="L121" s="2">
        <f>ROUND(H121*(LEFT($M$121,5)+1),0)</f>
        <v>6003</v>
      </c>
      <c r="M121" s="1518" t="str">
        <f>TEXT('MYP Assumptions'!$F$72,"0.00%")&amp;", CPI"</f>
        <v>3.19%, CPI</v>
      </c>
      <c r="O121" s="1527">
        <f t="shared" si="69"/>
        <v>2.8652340496418457E-2</v>
      </c>
      <c r="P121" s="2">
        <f>ROUND(L121*(LEFT($Q$121,5)+1),0)</f>
        <v>6175</v>
      </c>
      <c r="Q121" s="1518" t="str">
        <f>TEXT('MYP Assumptions'!$G$72,"0.00%")&amp;", CPI"</f>
        <v>2.86%, CPI</v>
      </c>
      <c r="S121" s="130">
        <f t="shared" si="70"/>
        <v>2.736842105263158E-2</v>
      </c>
      <c r="T121" s="2">
        <f t="shared" si="75"/>
        <v>6344</v>
      </c>
      <c r="U121" s="36" t="str">
        <f>TEXT('MYP Assumptions'!H72,"0.00%")&amp;", CPI"</f>
        <v>2.73%, CPI</v>
      </c>
      <c r="W121" s="130">
        <f t="shared" si="71"/>
        <v>2.7269861286254728E-2</v>
      </c>
      <c r="X121" s="2">
        <f t="shared" si="76"/>
        <v>6517</v>
      </c>
      <c r="Y121" s="36" t="str">
        <f>TEXT('MYP Assumptions'!I72,"0.00%")&amp;", CPI"</f>
        <v>2.73%, CPI</v>
      </c>
      <c r="AA121" s="130">
        <f t="shared" si="72"/>
        <v>2.7313180911462329E-2</v>
      </c>
      <c r="AB121" s="2">
        <f t="shared" si="77"/>
        <v>6695</v>
      </c>
      <c r="AC121" s="36" t="str">
        <f>TEXT('MYP Assumptions'!J72,"0.00%")&amp;", CPI"</f>
        <v>2.73%, CPI</v>
      </c>
    </row>
    <row r="122" spans="1:29" x14ac:dyDescent="0.25">
      <c r="A122" s="66"/>
      <c r="B122" s="1384" t="s">
        <v>514</v>
      </c>
      <c r="C122" s="1249" t="s">
        <v>529</v>
      </c>
      <c r="D122" s="2">
        <v>-43</v>
      </c>
      <c r="G122" s="1527">
        <f t="shared" ref="G122:G140" si="79">IF(D122=0,"0.00%",(H122-D122)/D122)</f>
        <v>-1</v>
      </c>
      <c r="H122" s="2">
        <v>0</v>
      </c>
      <c r="K122" s="1527" t="str">
        <f t="shared" ref="K122:K140" si="80">IF(H122=0,"0.00%",(L122-H122)/H122)</f>
        <v>0.00%</v>
      </c>
      <c r="L122" s="2">
        <f t="shared" ref="L122:L136" si="81">ROUND(H122*(LEFT($M$121,5)+1),0)</f>
        <v>0</v>
      </c>
      <c r="M122" s="1518"/>
      <c r="O122" s="1527" t="str">
        <f t="shared" ref="O122:O140" si="82">IF(L122=0,"0.00%",(P122-L122)/L122)</f>
        <v>0.00%</v>
      </c>
      <c r="P122" s="2">
        <f t="shared" ref="P122:P136" si="83">ROUND(L122*(LEFT($Q$121,5)+1),0)</f>
        <v>0</v>
      </c>
      <c r="Q122" s="1518"/>
      <c r="S122" s="130"/>
      <c r="U122" s="36"/>
      <c r="W122" s="130"/>
      <c r="Y122" s="36"/>
      <c r="AA122" s="130"/>
      <c r="AC122" s="36"/>
    </row>
    <row r="123" spans="1:29" x14ac:dyDescent="0.25">
      <c r="A123" s="66"/>
      <c r="B123" s="1384" t="s">
        <v>11</v>
      </c>
      <c r="C123" s="1249" t="s">
        <v>435</v>
      </c>
      <c r="D123" s="2">
        <v>1408</v>
      </c>
      <c r="G123" s="1527">
        <f t="shared" si="79"/>
        <v>1.6633522727272727</v>
      </c>
      <c r="H123" s="2">
        <v>3750</v>
      </c>
      <c r="K123" s="1527">
        <f t="shared" si="80"/>
        <v>3.2000000000000001E-2</v>
      </c>
      <c r="L123" s="2">
        <f t="shared" si="81"/>
        <v>3870</v>
      </c>
      <c r="M123" s="1518" t="str">
        <f>TEXT('MYP Assumptions'!$F$72,"0.00%")&amp;", CPI"</f>
        <v>3.19%, CPI</v>
      </c>
      <c r="O123" s="1527">
        <f t="shared" si="82"/>
        <v>2.8682170542635659E-2</v>
      </c>
      <c r="P123" s="2">
        <f t="shared" si="83"/>
        <v>3981</v>
      </c>
      <c r="Q123" s="1518" t="str">
        <f>TEXT('MYP Assumptions'!$G$72,"0.00%")&amp;", CPI"</f>
        <v>2.86%, CPI</v>
      </c>
      <c r="S123" s="130"/>
      <c r="U123" s="36"/>
      <c r="W123" s="130"/>
      <c r="Y123" s="36"/>
      <c r="AA123" s="130"/>
      <c r="AC123" s="36"/>
    </row>
    <row r="124" spans="1:29" x14ac:dyDescent="0.25">
      <c r="A124" s="66"/>
      <c r="B124" s="1384" t="s">
        <v>120</v>
      </c>
      <c r="C124" s="1249" t="s">
        <v>436</v>
      </c>
      <c r="D124" s="2">
        <v>953</v>
      </c>
      <c r="G124" s="1527">
        <f t="shared" si="79"/>
        <v>-0.21301154249737669</v>
      </c>
      <c r="H124" s="2">
        <v>750</v>
      </c>
      <c r="K124" s="1527">
        <f t="shared" si="80"/>
        <v>3.2000000000000001E-2</v>
      </c>
      <c r="L124" s="2">
        <f t="shared" si="81"/>
        <v>774</v>
      </c>
      <c r="M124" s="1518" t="str">
        <f>TEXT('MYP Assumptions'!$F$72,"0.00%")&amp;", CPI"</f>
        <v>3.19%, CPI</v>
      </c>
      <c r="O124" s="1527">
        <f t="shared" si="82"/>
        <v>2.8423772609819122E-2</v>
      </c>
      <c r="P124" s="2">
        <f t="shared" si="83"/>
        <v>796</v>
      </c>
      <c r="Q124" s="1518" t="str">
        <f>TEXT('MYP Assumptions'!$G$72,"0.00%")&amp;", CPI"</f>
        <v>2.86%, CPI</v>
      </c>
      <c r="S124" s="130"/>
      <c r="U124" s="36"/>
      <c r="W124" s="130"/>
      <c r="Y124" s="36"/>
      <c r="AA124" s="130"/>
      <c r="AC124" s="36"/>
    </row>
    <row r="125" spans="1:29" x14ac:dyDescent="0.25">
      <c r="A125" s="66"/>
      <c r="B125" s="1384" t="s">
        <v>515</v>
      </c>
      <c r="C125" s="1249" t="s">
        <v>530</v>
      </c>
      <c r="D125" s="2">
        <v>-12000</v>
      </c>
      <c r="G125" s="1527">
        <f t="shared" si="79"/>
        <v>0</v>
      </c>
      <c r="H125" s="2">
        <v>-12000</v>
      </c>
      <c r="K125" s="1527">
        <f t="shared" si="80"/>
        <v>3.191666666666667E-2</v>
      </c>
      <c r="L125" s="2">
        <f t="shared" si="81"/>
        <v>-12383</v>
      </c>
      <c r="M125" s="1518" t="str">
        <f>TEXT('MYP Assumptions'!$F$72,"0.00%")&amp;", CPI"</f>
        <v>3.19%, CPI</v>
      </c>
      <c r="O125" s="1527">
        <f t="shared" si="82"/>
        <v>2.8587579746426551E-2</v>
      </c>
      <c r="P125" s="2">
        <f t="shared" si="83"/>
        <v>-12737</v>
      </c>
      <c r="Q125" s="1518" t="str">
        <f>TEXT('MYP Assumptions'!$G$72,"0.00%")&amp;", CPI"</f>
        <v>2.86%, CPI</v>
      </c>
      <c r="S125" s="130"/>
      <c r="U125" s="36"/>
      <c r="W125" s="130"/>
      <c r="Y125" s="36"/>
      <c r="AA125" s="130"/>
      <c r="AC125" s="36"/>
    </row>
    <row r="126" spans="1:29" x14ac:dyDescent="0.25">
      <c r="A126" s="66"/>
      <c r="B126" s="1384" t="s">
        <v>516</v>
      </c>
      <c r="C126" s="1249" t="s">
        <v>531</v>
      </c>
      <c r="D126" s="2">
        <v>-3500</v>
      </c>
      <c r="G126" s="1527">
        <f t="shared" si="79"/>
        <v>0</v>
      </c>
      <c r="H126" s="2">
        <v>-3500</v>
      </c>
      <c r="K126" s="1527">
        <f t="shared" si="80"/>
        <v>3.2000000000000001E-2</v>
      </c>
      <c r="L126" s="2">
        <f t="shared" si="81"/>
        <v>-3612</v>
      </c>
      <c r="M126" s="1518" t="str">
        <f>TEXT('MYP Assumptions'!$F$72,"0.00%")&amp;", CPI"</f>
        <v>3.19%, CPI</v>
      </c>
      <c r="O126" s="1527">
        <f t="shared" si="82"/>
        <v>2.8516057585825028E-2</v>
      </c>
      <c r="P126" s="2">
        <f t="shared" si="83"/>
        <v>-3715</v>
      </c>
      <c r="Q126" s="1518" t="str">
        <f>TEXT('MYP Assumptions'!$G$72,"0.00%")&amp;", CPI"</f>
        <v>2.86%, CPI</v>
      </c>
      <c r="S126" s="130"/>
      <c r="U126" s="36"/>
      <c r="W126" s="130"/>
      <c r="Y126" s="36"/>
      <c r="AA126" s="130"/>
      <c r="AC126" s="36"/>
    </row>
    <row r="127" spans="1:29" x14ac:dyDescent="0.25">
      <c r="A127" s="66"/>
      <c r="B127" s="1384" t="s">
        <v>517</v>
      </c>
      <c r="C127" s="1249" t="s">
        <v>532</v>
      </c>
      <c r="D127" s="2">
        <v>6083</v>
      </c>
      <c r="G127" s="1527">
        <f t="shared" si="79"/>
        <v>-1.3644583264836429E-2</v>
      </c>
      <c r="H127" s="2">
        <v>6000</v>
      </c>
      <c r="K127" s="1527">
        <f t="shared" si="80"/>
        <v>3.1833333333333332E-2</v>
      </c>
      <c r="L127" s="2">
        <f t="shared" si="81"/>
        <v>6191</v>
      </c>
      <c r="M127" s="1518" t="str">
        <f>TEXT('MYP Assumptions'!$F$72,"0.00%")&amp;", CPI"</f>
        <v>3.19%, CPI</v>
      </c>
      <c r="O127" s="1527">
        <f t="shared" si="82"/>
        <v>2.8589888547892101E-2</v>
      </c>
      <c r="P127" s="2">
        <f t="shared" si="83"/>
        <v>6368</v>
      </c>
      <c r="Q127" s="1518" t="str">
        <f>TEXT('MYP Assumptions'!$G$72,"0.00%")&amp;", CPI"</f>
        <v>2.86%, CPI</v>
      </c>
      <c r="S127" s="130"/>
      <c r="U127" s="36"/>
      <c r="W127" s="130"/>
      <c r="Y127" s="36"/>
      <c r="AA127" s="130"/>
      <c r="AC127" s="36"/>
    </row>
    <row r="128" spans="1:29" x14ac:dyDescent="0.25">
      <c r="A128" s="66"/>
      <c r="B128" s="1384" t="s">
        <v>518</v>
      </c>
      <c r="C128" s="1249" t="s">
        <v>533</v>
      </c>
      <c r="D128" s="2">
        <v>102157</v>
      </c>
      <c r="G128" s="1527">
        <f t="shared" si="79"/>
        <v>0.7829419423044921</v>
      </c>
      <c r="H128" s="2">
        <f>194157-12017</f>
        <v>182140</v>
      </c>
      <c r="K128" s="1527">
        <f t="shared" si="80"/>
        <v>-0.17645766992423412</v>
      </c>
      <c r="L128" s="2">
        <v>150000</v>
      </c>
      <c r="M128" s="1518"/>
      <c r="O128" s="1527">
        <f t="shared" si="82"/>
        <v>0</v>
      </c>
      <c r="P128" s="2">
        <f>+L128</f>
        <v>150000</v>
      </c>
      <c r="Q128" s="1518"/>
      <c r="S128" s="130"/>
      <c r="U128" s="36"/>
      <c r="W128" s="130"/>
      <c r="Y128" s="36"/>
      <c r="AA128" s="130"/>
      <c r="AC128" s="36"/>
    </row>
    <row r="129" spans="1:29" x14ac:dyDescent="0.25">
      <c r="A129" s="66"/>
      <c r="B129" s="1384" t="s">
        <v>519</v>
      </c>
      <c r="C129" s="1249" t="s">
        <v>534</v>
      </c>
      <c r="D129" s="2">
        <v>27530</v>
      </c>
      <c r="G129" s="1527">
        <f t="shared" si="79"/>
        <v>3.7958590628405377E-2</v>
      </c>
      <c r="H129" s="2">
        <v>28575</v>
      </c>
      <c r="K129" s="1527">
        <f t="shared" si="80"/>
        <v>-2.0122484689413824E-2</v>
      </c>
      <c r="L129" s="2">
        <v>28000</v>
      </c>
      <c r="M129" s="1518"/>
      <c r="O129" s="1527">
        <f t="shared" si="82"/>
        <v>0</v>
      </c>
      <c r="P129" s="2">
        <f>+L129</f>
        <v>28000</v>
      </c>
      <c r="Q129" s="1518"/>
      <c r="S129" s="130"/>
      <c r="U129" s="36"/>
      <c r="W129" s="130"/>
      <c r="Y129" s="36"/>
      <c r="AA129" s="130"/>
      <c r="AC129" s="36"/>
    </row>
    <row r="130" spans="1:29" x14ac:dyDescent="0.25">
      <c r="A130" s="66"/>
      <c r="B130" s="1384" t="s">
        <v>126</v>
      </c>
      <c r="C130" s="1249" t="s">
        <v>535</v>
      </c>
      <c r="D130" s="2">
        <v>1000</v>
      </c>
      <c r="G130" s="1527">
        <f t="shared" si="79"/>
        <v>-1</v>
      </c>
      <c r="H130" s="2">
        <v>0</v>
      </c>
      <c r="K130" s="1527" t="str">
        <f t="shared" si="80"/>
        <v>0.00%</v>
      </c>
      <c r="L130" s="2">
        <f t="shared" si="81"/>
        <v>0</v>
      </c>
      <c r="M130" s="1518"/>
      <c r="O130" s="1527" t="str">
        <f t="shared" si="82"/>
        <v>0.00%</v>
      </c>
      <c r="P130" s="2">
        <f t="shared" si="83"/>
        <v>0</v>
      </c>
      <c r="Q130" s="1518"/>
      <c r="S130" s="130"/>
      <c r="U130" s="36"/>
      <c r="W130" s="130"/>
      <c r="Y130" s="36"/>
      <c r="AA130" s="130"/>
      <c r="AC130" s="36"/>
    </row>
    <row r="131" spans="1:29" x14ac:dyDescent="0.25">
      <c r="A131" s="66"/>
      <c r="B131" s="1384" t="s">
        <v>9</v>
      </c>
      <c r="C131" s="1249" t="s">
        <v>8</v>
      </c>
      <c r="D131" s="2">
        <v>3470</v>
      </c>
      <c r="G131" s="1527">
        <f t="shared" si="79"/>
        <v>0.12536023054755044</v>
      </c>
      <c r="H131" s="2">
        <v>3905</v>
      </c>
      <c r="K131" s="1527">
        <f t="shared" si="80"/>
        <v>-1.2804097311139564E-3</v>
      </c>
      <c r="L131" s="2">
        <v>3900</v>
      </c>
      <c r="M131" s="1518"/>
      <c r="O131" s="1527">
        <f t="shared" si="82"/>
        <v>0</v>
      </c>
      <c r="P131" s="2">
        <f>+L131</f>
        <v>3900</v>
      </c>
      <c r="Q131" s="1518"/>
      <c r="S131" s="130"/>
      <c r="U131" s="36"/>
      <c r="W131" s="130"/>
      <c r="Y131" s="36"/>
      <c r="AA131" s="130"/>
      <c r="AC131" s="36"/>
    </row>
    <row r="132" spans="1:29" x14ac:dyDescent="0.25">
      <c r="A132" s="66"/>
      <c r="B132" s="1384" t="s">
        <v>122</v>
      </c>
      <c r="C132" s="1249" t="s">
        <v>123</v>
      </c>
      <c r="D132" s="2">
        <v>44548</v>
      </c>
      <c r="G132" s="1527">
        <f t="shared" si="79"/>
        <v>-5.2864326120140075E-2</v>
      </c>
      <c r="H132" s="2">
        <v>42193</v>
      </c>
      <c r="K132" s="1527">
        <f t="shared" si="80"/>
        <v>-4.5742184722584317E-3</v>
      </c>
      <c r="L132" s="2">
        <v>42000</v>
      </c>
      <c r="M132" s="1518"/>
      <c r="O132" s="1527">
        <f t="shared" si="82"/>
        <v>0</v>
      </c>
      <c r="P132" s="2">
        <v>42000</v>
      </c>
      <c r="Q132" s="1518"/>
      <c r="S132" s="130"/>
      <c r="U132" s="36"/>
      <c r="W132" s="130"/>
      <c r="Y132" s="36"/>
      <c r="AA132" s="130"/>
      <c r="AC132" s="36"/>
    </row>
    <row r="133" spans="1:29" x14ac:dyDescent="0.25">
      <c r="A133" s="66"/>
      <c r="B133" s="1384" t="s">
        <v>520</v>
      </c>
      <c r="C133" s="1249" t="s">
        <v>437</v>
      </c>
      <c r="D133" s="2">
        <v>20000</v>
      </c>
      <c r="G133" s="1527">
        <f t="shared" si="79"/>
        <v>-0.5</v>
      </c>
      <c r="H133" s="2">
        <v>10000</v>
      </c>
      <c r="K133" s="1527">
        <f t="shared" si="80"/>
        <v>-0.15</v>
      </c>
      <c r="L133" s="2">
        <v>8500</v>
      </c>
      <c r="M133" s="1518"/>
      <c r="O133" s="1527">
        <f t="shared" si="82"/>
        <v>0</v>
      </c>
      <c r="P133" s="2">
        <v>8500</v>
      </c>
      <c r="Q133" s="1518"/>
      <c r="S133" s="130"/>
      <c r="U133" s="36"/>
      <c r="W133" s="130"/>
      <c r="Y133" s="36"/>
      <c r="AA133" s="130"/>
      <c r="AC133" s="36"/>
    </row>
    <row r="134" spans="1:29" x14ac:dyDescent="0.25">
      <c r="A134" s="66"/>
      <c r="B134" s="1384" t="s">
        <v>7</v>
      </c>
      <c r="C134" s="1249" t="s">
        <v>6</v>
      </c>
      <c r="D134" s="2">
        <v>131255</v>
      </c>
      <c r="G134" s="1527">
        <f t="shared" si="79"/>
        <v>-0.10403413203306541</v>
      </c>
      <c r="H134" s="2">
        <v>117600</v>
      </c>
      <c r="K134" s="1527">
        <f t="shared" si="80"/>
        <v>-2.2108843537414966E-2</v>
      </c>
      <c r="L134" s="2">
        <v>115000</v>
      </c>
      <c r="M134" s="1518"/>
      <c r="O134" s="1527">
        <f t="shared" si="82"/>
        <v>0</v>
      </c>
      <c r="P134" s="2">
        <f>+L134</f>
        <v>115000</v>
      </c>
      <c r="Q134" s="1518"/>
      <c r="S134" s="130"/>
      <c r="U134" s="36"/>
      <c r="W134" s="130"/>
      <c r="Y134" s="36"/>
      <c r="AA134" s="130"/>
      <c r="AC134" s="36"/>
    </row>
    <row r="135" spans="1:29" x14ac:dyDescent="0.25">
      <c r="A135" s="66"/>
      <c r="B135" s="1384" t="s">
        <v>5</v>
      </c>
      <c r="C135" s="1249" t="s">
        <v>4</v>
      </c>
      <c r="D135" s="2">
        <v>105031</v>
      </c>
      <c r="G135" s="1527">
        <f t="shared" si="79"/>
        <v>-0.12492502213632166</v>
      </c>
      <c r="H135" s="2">
        <v>91910</v>
      </c>
      <c r="K135" s="1527">
        <f t="shared" si="80"/>
        <v>-9.9009900990099011E-3</v>
      </c>
      <c r="L135" s="2">
        <v>91000</v>
      </c>
      <c r="M135" s="1518"/>
      <c r="O135" s="1527">
        <f t="shared" si="82"/>
        <v>0</v>
      </c>
      <c r="P135" s="2">
        <f>+L135</f>
        <v>91000</v>
      </c>
      <c r="Q135" s="1518"/>
      <c r="S135" s="130"/>
      <c r="U135" s="36"/>
      <c r="W135" s="130"/>
      <c r="Y135" s="36"/>
      <c r="AA135" s="130"/>
      <c r="AC135" s="36"/>
    </row>
    <row r="136" spans="1:29" x14ac:dyDescent="0.25">
      <c r="A136" s="66"/>
      <c r="B136" s="1384">
        <v>5817</v>
      </c>
      <c r="C136" s="1249" t="s">
        <v>269</v>
      </c>
      <c r="D136" s="2">
        <v>2479</v>
      </c>
      <c r="G136" s="1527">
        <f t="shared" si="79"/>
        <v>-1</v>
      </c>
      <c r="H136" s="2">
        <v>0</v>
      </c>
      <c r="K136" s="1527" t="str">
        <f t="shared" si="80"/>
        <v>0.00%</v>
      </c>
      <c r="L136" s="2">
        <f t="shared" si="81"/>
        <v>0</v>
      </c>
      <c r="M136" s="1518"/>
      <c r="O136" s="1527" t="str">
        <f t="shared" si="82"/>
        <v>0.00%</v>
      </c>
      <c r="P136" s="2">
        <f t="shared" si="83"/>
        <v>0</v>
      </c>
      <c r="Q136" s="1518"/>
      <c r="S136" s="130"/>
      <c r="U136" s="36"/>
      <c r="W136" s="130"/>
      <c r="Y136" s="36"/>
      <c r="AA136" s="130"/>
      <c r="AC136" s="36"/>
    </row>
    <row r="137" spans="1:29" x14ac:dyDescent="0.25">
      <c r="A137" s="66"/>
      <c r="B137" s="1384" t="s">
        <v>521</v>
      </c>
      <c r="C137" s="1249" t="s">
        <v>536</v>
      </c>
      <c r="D137" s="2">
        <v>508</v>
      </c>
      <c r="G137" s="1527">
        <f t="shared" si="79"/>
        <v>0</v>
      </c>
      <c r="H137" s="2">
        <v>508</v>
      </c>
      <c r="K137" s="1527">
        <f t="shared" si="80"/>
        <v>-1.5748031496062992E-2</v>
      </c>
      <c r="L137" s="2">
        <v>500</v>
      </c>
      <c r="M137" s="1518"/>
      <c r="O137" s="1527">
        <f t="shared" si="82"/>
        <v>0</v>
      </c>
      <c r="P137" s="2">
        <f>+L137</f>
        <v>500</v>
      </c>
      <c r="Q137" s="1518"/>
      <c r="S137" s="130"/>
      <c r="U137" s="36"/>
      <c r="W137" s="130"/>
      <c r="Y137" s="36"/>
      <c r="AA137" s="130"/>
      <c r="AC137" s="36"/>
    </row>
    <row r="138" spans="1:29" x14ac:dyDescent="0.25">
      <c r="A138" s="66"/>
      <c r="B138" s="1384" t="s">
        <v>522</v>
      </c>
      <c r="C138" s="1249" t="s">
        <v>537</v>
      </c>
      <c r="D138" s="2">
        <v>14350</v>
      </c>
      <c r="G138" s="1527">
        <f t="shared" si="79"/>
        <v>-0.30313588850174217</v>
      </c>
      <c r="H138" s="2">
        <v>10000</v>
      </c>
      <c r="K138" s="1527">
        <f t="shared" si="80"/>
        <v>0</v>
      </c>
      <c r="L138" s="2">
        <f>+H138</f>
        <v>10000</v>
      </c>
      <c r="M138" s="1518"/>
      <c r="O138" s="1527">
        <f t="shared" si="82"/>
        <v>0</v>
      </c>
      <c r="P138" s="2">
        <f>+L138</f>
        <v>10000</v>
      </c>
      <c r="Q138" s="1518"/>
      <c r="S138" s="130"/>
      <c r="U138" s="36"/>
      <c r="W138" s="130"/>
      <c r="Y138" s="36"/>
      <c r="AA138" s="130"/>
      <c r="AC138" s="36"/>
    </row>
    <row r="139" spans="1:29" x14ac:dyDescent="0.25">
      <c r="A139" s="66"/>
      <c r="B139" s="1384" t="s">
        <v>523</v>
      </c>
      <c r="C139" s="1249" t="s">
        <v>538</v>
      </c>
      <c r="D139" s="2">
        <v>30000</v>
      </c>
      <c r="G139" s="1527">
        <f t="shared" si="79"/>
        <v>0</v>
      </c>
      <c r="H139" s="2">
        <v>30000</v>
      </c>
      <c r="K139" s="1527">
        <f t="shared" si="80"/>
        <v>0</v>
      </c>
      <c r="L139" s="2">
        <f>+H139</f>
        <v>30000</v>
      </c>
      <c r="M139" s="1518"/>
      <c r="O139" s="1527">
        <f t="shared" si="82"/>
        <v>0</v>
      </c>
      <c r="P139" s="2">
        <f>+L139</f>
        <v>30000</v>
      </c>
      <c r="Q139" s="1518"/>
      <c r="S139" s="130"/>
      <c r="U139" s="36"/>
      <c r="W139" s="130"/>
      <c r="Y139" s="36"/>
      <c r="AA139" s="130"/>
      <c r="AC139" s="36"/>
    </row>
    <row r="140" spans="1:29" x14ac:dyDescent="0.25">
      <c r="A140" s="66"/>
      <c r="B140" s="1384" t="s">
        <v>524</v>
      </c>
      <c r="C140" s="1249" t="s">
        <v>539</v>
      </c>
      <c r="D140" s="2">
        <v>10040</v>
      </c>
      <c r="G140" s="1527">
        <f t="shared" si="79"/>
        <v>-3.047808764940239E-2</v>
      </c>
      <c r="H140" s="2">
        <v>9734</v>
      </c>
      <c r="K140" s="1527">
        <f t="shared" si="80"/>
        <v>0</v>
      </c>
      <c r="L140" s="2">
        <f>+H140</f>
        <v>9734</v>
      </c>
      <c r="M140" s="1518"/>
      <c r="O140" s="1527">
        <f t="shared" si="82"/>
        <v>0</v>
      </c>
      <c r="P140" s="2">
        <f>+L140</f>
        <v>9734</v>
      </c>
      <c r="Q140" s="1518"/>
      <c r="S140" s="130"/>
      <c r="U140" s="36"/>
      <c r="W140" s="130"/>
      <c r="Y140" s="36"/>
      <c r="AA140" s="130"/>
      <c r="AC140" s="36"/>
    </row>
    <row r="141" spans="1:29" x14ac:dyDescent="0.25">
      <c r="A141" s="66"/>
      <c r="B141" s="1384" t="s">
        <v>525</v>
      </c>
      <c r="C141" s="1249" t="s">
        <v>540</v>
      </c>
      <c r="D141" s="2">
        <v>17666</v>
      </c>
      <c r="G141" s="1527">
        <f t="shared" ref="G141:G145" si="84">IF(D141=0,"0.00%",(H141-D141)/D141)</f>
        <v>-2.1170610211706103E-2</v>
      </c>
      <c r="H141" s="2">
        <v>17292</v>
      </c>
      <c r="K141" s="1527">
        <f t="shared" ref="K141:K145" si="85">IF(H141=0,"0.00%",(L141-H141)/H141)</f>
        <v>0</v>
      </c>
      <c r="L141" s="2">
        <f t="shared" ref="L141:L144" si="86">+H141</f>
        <v>17292</v>
      </c>
      <c r="M141" s="1518"/>
      <c r="O141" s="1527">
        <f t="shared" ref="O141:O145" si="87">IF(L141=0,"0.00%",(P141-L141)/L141)</f>
        <v>0</v>
      </c>
      <c r="P141" s="2">
        <f t="shared" ref="P141:P145" si="88">+L141</f>
        <v>17292</v>
      </c>
      <c r="Q141" s="1518"/>
      <c r="S141" s="130"/>
      <c r="U141" s="36"/>
      <c r="W141" s="130"/>
      <c r="Y141" s="36"/>
      <c r="AA141" s="130"/>
      <c r="AC141" s="36"/>
    </row>
    <row r="142" spans="1:29" x14ac:dyDescent="0.25">
      <c r="A142" s="66"/>
      <c r="B142" s="1384" t="s">
        <v>526</v>
      </c>
      <c r="C142" s="1249" t="s">
        <v>541</v>
      </c>
      <c r="D142" s="2">
        <v>10000</v>
      </c>
      <c r="G142" s="1527">
        <f t="shared" si="84"/>
        <v>0</v>
      </c>
      <c r="H142" s="2">
        <v>10000</v>
      </c>
      <c r="K142" s="1527">
        <f t="shared" si="85"/>
        <v>0</v>
      </c>
      <c r="L142" s="2">
        <f t="shared" si="86"/>
        <v>10000</v>
      </c>
      <c r="M142" s="1518"/>
      <c r="O142" s="1527">
        <f t="shared" si="87"/>
        <v>0</v>
      </c>
      <c r="P142" s="2">
        <f t="shared" si="88"/>
        <v>10000</v>
      </c>
      <c r="Q142" s="1518"/>
      <c r="S142" s="130"/>
      <c r="U142" s="36"/>
      <c r="W142" s="130"/>
      <c r="Y142" s="36"/>
      <c r="AA142" s="130"/>
      <c r="AC142" s="36"/>
    </row>
    <row r="143" spans="1:29" x14ac:dyDescent="0.25">
      <c r="A143" s="66"/>
      <c r="B143" s="1384" t="s">
        <v>527</v>
      </c>
      <c r="C143" s="1249" t="s">
        <v>542</v>
      </c>
      <c r="D143" s="2">
        <v>83949</v>
      </c>
      <c r="G143" s="1527">
        <f t="shared" si="84"/>
        <v>6.1108530179037272E-2</v>
      </c>
      <c r="H143" s="2">
        <v>89079</v>
      </c>
      <c r="K143" s="1527">
        <f t="shared" si="85"/>
        <v>0</v>
      </c>
      <c r="L143" s="2">
        <f t="shared" si="86"/>
        <v>89079</v>
      </c>
      <c r="M143" s="1518"/>
      <c r="O143" s="1527">
        <f t="shared" si="87"/>
        <v>0</v>
      </c>
      <c r="P143" s="2">
        <f t="shared" si="88"/>
        <v>89079</v>
      </c>
      <c r="Q143" s="1518"/>
      <c r="S143" s="130"/>
      <c r="U143" s="36"/>
      <c r="W143" s="130"/>
      <c r="Y143" s="36"/>
      <c r="AA143" s="130"/>
      <c r="AC143" s="36"/>
    </row>
    <row r="144" spans="1:29" x14ac:dyDescent="0.25">
      <c r="A144" s="66"/>
      <c r="B144" s="1384" t="s">
        <v>528</v>
      </c>
      <c r="C144" s="1249" t="s">
        <v>543</v>
      </c>
      <c r="D144" s="2">
        <v>3185</v>
      </c>
      <c r="G144" s="1527">
        <f t="shared" si="84"/>
        <v>2.3547880690737835E-2</v>
      </c>
      <c r="H144" s="2">
        <v>3260</v>
      </c>
      <c r="K144" s="1527">
        <f t="shared" si="85"/>
        <v>0</v>
      </c>
      <c r="L144" s="2">
        <f t="shared" si="86"/>
        <v>3260</v>
      </c>
      <c r="M144" s="1518"/>
      <c r="O144" s="1527">
        <f t="shared" si="87"/>
        <v>0</v>
      </c>
      <c r="P144" s="2">
        <f t="shared" si="88"/>
        <v>3260</v>
      </c>
      <c r="Q144" s="1518"/>
      <c r="S144" s="130"/>
      <c r="U144" s="36"/>
      <c r="W144" s="130"/>
      <c r="Y144" s="36"/>
      <c r="AA144" s="130"/>
      <c r="AC144" s="36"/>
    </row>
    <row r="145" spans="1:29" x14ac:dyDescent="0.25">
      <c r="A145" s="66"/>
      <c r="B145" s="1384" t="s">
        <v>124</v>
      </c>
      <c r="C145" s="1249" t="s">
        <v>455</v>
      </c>
      <c r="D145" s="2">
        <v>1000</v>
      </c>
      <c r="G145" s="1527">
        <f t="shared" si="84"/>
        <v>-0.5</v>
      </c>
      <c r="H145" s="2">
        <v>500</v>
      </c>
      <c r="K145" s="1527">
        <f t="shared" si="85"/>
        <v>-0.5</v>
      </c>
      <c r="L145" s="2">
        <v>250</v>
      </c>
      <c r="M145" s="1518"/>
      <c r="O145" s="1527">
        <f t="shared" si="87"/>
        <v>0</v>
      </c>
      <c r="P145" s="2">
        <f t="shared" si="88"/>
        <v>250</v>
      </c>
      <c r="Q145" s="1518"/>
      <c r="S145" s="130"/>
      <c r="U145" s="36"/>
      <c r="W145" s="130"/>
      <c r="Y145" s="36"/>
      <c r="AA145" s="130"/>
      <c r="AC145" s="36"/>
    </row>
    <row r="146" spans="1:29" x14ac:dyDescent="0.25">
      <c r="A146" s="66"/>
      <c r="B146" s="1384"/>
      <c r="G146" s="1527"/>
      <c r="H146" s="2"/>
      <c r="K146" s="1527"/>
      <c r="L146" s="2"/>
      <c r="M146" s="1518"/>
      <c r="O146" s="1527"/>
      <c r="Q146" s="1518"/>
      <c r="S146" s="130"/>
      <c r="U146" s="36"/>
      <c r="W146" s="130"/>
      <c r="Y146" s="36"/>
      <c r="AA146" s="130"/>
      <c r="AC146" s="36"/>
    </row>
    <row r="147" spans="1:29" x14ac:dyDescent="0.25">
      <c r="A147" s="29"/>
      <c r="D147" s="8">
        <f>SUM(D110:D146)</f>
        <v>2430642.4500000002</v>
      </c>
      <c r="G147" s="1527">
        <f t="shared" si="78"/>
        <v>-5.4065747103199755E-3</v>
      </c>
      <c r="H147" s="8">
        <f>SUM(H110:H146)</f>
        <v>2417501</v>
      </c>
      <c r="I147" s="1882">
        <f>+H147-D147</f>
        <v>-13141.450000000186</v>
      </c>
      <c r="J147" s="29"/>
      <c r="K147" s="1527">
        <f t="shared" si="68"/>
        <v>7.2128201808396358E-3</v>
      </c>
      <c r="L147" s="8">
        <f>SUM(L110:L146)</f>
        <v>2434938</v>
      </c>
      <c r="M147" s="1882">
        <f>+L147-H147</f>
        <v>17437</v>
      </c>
      <c r="O147" s="1527">
        <f t="shared" si="69"/>
        <v>2.144407783688948E-2</v>
      </c>
      <c r="P147" s="8">
        <f>SUM(P110:P146)</f>
        <v>2487153</v>
      </c>
      <c r="Q147" s="1882">
        <f>+P147-L147</f>
        <v>52215</v>
      </c>
      <c r="S147" s="130">
        <f t="shared" si="70"/>
        <v>-0.22185004300097341</v>
      </c>
      <c r="T147" s="8">
        <f>SUM(T110:T146)</f>
        <v>1935378</v>
      </c>
      <c r="U147" s="124"/>
      <c r="W147" s="130">
        <f t="shared" si="71"/>
        <v>2.7300093315104336E-2</v>
      </c>
      <c r="X147" s="8">
        <f>SUM(X110:X146)</f>
        <v>1988214</v>
      </c>
      <c r="Y147" s="124"/>
      <c r="AA147" s="130">
        <f t="shared" si="72"/>
        <v>2.7299878182127275E-2</v>
      </c>
      <c r="AB147" s="8">
        <f>SUM(AB110:AB146)</f>
        <v>2042492</v>
      </c>
      <c r="AC147" s="124"/>
    </row>
    <row r="148" spans="1:29" x14ac:dyDescent="0.25">
      <c r="A148" s="66"/>
      <c r="B148" s="1380"/>
      <c r="G148" s="1527"/>
      <c r="H148" s="2"/>
      <c r="L148" s="2"/>
      <c r="M148" s="1394"/>
      <c r="Q148" s="1394"/>
      <c r="U148" s="124"/>
      <c r="Y148" s="124"/>
      <c r="AC148" s="124"/>
    </row>
    <row r="149" spans="1:29" s="39" customFormat="1" x14ac:dyDescent="0.25">
      <c r="A149" s="153"/>
      <c r="B149" s="1323" t="s">
        <v>342</v>
      </c>
      <c r="C149" s="1243"/>
      <c r="D149" s="2"/>
      <c r="E149" s="1249"/>
      <c r="F149" s="2"/>
      <c r="G149" s="1527"/>
      <c r="H149" s="2"/>
      <c r="I149" s="1257"/>
      <c r="J149" s="66"/>
      <c r="K149" s="1550"/>
      <c r="L149" s="2"/>
      <c r="M149" s="1335"/>
      <c r="O149" s="1550"/>
      <c r="P149" s="2"/>
      <c r="Q149" s="1335"/>
      <c r="R149" s="109"/>
      <c r="T149" s="2"/>
      <c r="U149" s="73"/>
      <c r="X149" s="2"/>
      <c r="Y149" s="73"/>
      <c r="AB149" s="2"/>
      <c r="AC149" s="73"/>
    </row>
    <row r="150" spans="1:29" s="39" customFormat="1" x14ac:dyDescent="0.25">
      <c r="A150" s="153"/>
      <c r="B150" s="1326">
        <v>6400</v>
      </c>
      <c r="C150" s="1243" t="s">
        <v>343</v>
      </c>
      <c r="D150" s="2">
        <v>25000</v>
      </c>
      <c r="E150" s="1249"/>
      <c r="F150" s="2"/>
      <c r="G150" s="1527"/>
      <c r="H150" s="2">
        <v>0</v>
      </c>
      <c r="I150" s="1257"/>
      <c r="J150" s="66"/>
      <c r="K150" s="1527"/>
      <c r="L150" s="2">
        <v>0</v>
      </c>
      <c r="M150" s="1335"/>
      <c r="O150" s="1527"/>
      <c r="P150" s="2">
        <v>0</v>
      </c>
      <c r="Q150" s="1335"/>
      <c r="R150" s="109"/>
      <c r="S150" s="83"/>
      <c r="T150" s="2">
        <v>0</v>
      </c>
      <c r="U150" s="73"/>
      <c r="W150" s="83"/>
      <c r="X150" s="2">
        <v>0</v>
      </c>
      <c r="Y150" s="73"/>
      <c r="AA150" s="83"/>
      <c r="AB150" s="2">
        <v>0</v>
      </c>
      <c r="AC150" s="73"/>
    </row>
    <row r="151" spans="1:29" s="39" customFormat="1" ht="23.25" hidden="1" customHeight="1" x14ac:dyDescent="0.25">
      <c r="A151" s="153"/>
      <c r="B151" s="1326"/>
      <c r="C151" s="1243"/>
      <c r="D151" s="2">
        <v>0</v>
      </c>
      <c r="E151" s="1249"/>
      <c r="F151" s="2"/>
      <c r="G151" s="1527"/>
      <c r="H151" s="2">
        <v>0</v>
      </c>
      <c r="I151" s="1257"/>
      <c r="J151" s="66"/>
      <c r="K151" s="1527"/>
      <c r="L151" s="2">
        <v>0</v>
      </c>
      <c r="M151" s="1335"/>
      <c r="O151" s="1527"/>
      <c r="P151" s="2">
        <v>0</v>
      </c>
      <c r="Q151" s="1335"/>
      <c r="R151" s="109"/>
      <c r="S151" s="83"/>
      <c r="T151" s="2">
        <v>0</v>
      </c>
      <c r="U151" s="73"/>
      <c r="W151" s="83"/>
      <c r="X151" s="2">
        <v>0</v>
      </c>
      <c r="Y151" s="73"/>
      <c r="AA151" s="83"/>
      <c r="AB151" s="2">
        <v>0</v>
      </c>
      <c r="AC151" s="73"/>
    </row>
    <row r="152" spans="1:29" s="39" customFormat="1" hidden="1" x14ac:dyDescent="0.25">
      <c r="A152" s="153"/>
      <c r="B152" s="1323"/>
      <c r="C152" s="1243"/>
      <c r="D152" s="2">
        <v>0</v>
      </c>
      <c r="E152" s="1249"/>
      <c r="F152" s="2"/>
      <c r="G152" s="1527"/>
      <c r="H152" s="2">
        <v>0</v>
      </c>
      <c r="I152" s="1257"/>
      <c r="J152" s="66"/>
      <c r="K152" s="1527"/>
      <c r="L152" s="2">
        <v>0</v>
      </c>
      <c r="M152" s="1335"/>
      <c r="O152" s="1527"/>
      <c r="P152" s="2">
        <v>0</v>
      </c>
      <c r="Q152" s="1335"/>
      <c r="R152" s="109"/>
      <c r="S152" s="83"/>
      <c r="T152" s="2">
        <v>0</v>
      </c>
      <c r="U152" s="73"/>
      <c r="W152" s="83"/>
      <c r="X152" s="2">
        <v>0</v>
      </c>
      <c r="Y152" s="73"/>
      <c r="AA152" s="83"/>
      <c r="AB152" s="2">
        <v>0</v>
      </c>
      <c r="AC152" s="73"/>
    </row>
    <row r="153" spans="1:29" s="39" customFormat="1" x14ac:dyDescent="0.25">
      <c r="A153" s="153"/>
      <c r="B153" s="1323"/>
      <c r="C153" s="1243"/>
      <c r="D153" s="112">
        <f>SUM(D150:D152)</f>
        <v>25000</v>
      </c>
      <c r="E153" s="1249"/>
      <c r="F153" s="2"/>
      <c r="G153" s="1527"/>
      <c r="H153" s="112">
        <f>SUM(H150:H152)</f>
        <v>0</v>
      </c>
      <c r="I153" s="1257"/>
      <c r="J153" s="66"/>
      <c r="K153" s="1527"/>
      <c r="L153" s="112">
        <f>SUM(L150:L152)</f>
        <v>0</v>
      </c>
      <c r="M153" s="1335"/>
      <c r="O153" s="1527"/>
      <c r="P153" s="112">
        <f>SUM(P150:P152)</f>
        <v>0</v>
      </c>
      <c r="Q153" s="1335"/>
      <c r="R153" s="109"/>
      <c r="S153" s="83"/>
      <c r="T153" s="112">
        <f>SUM(T150:T152)</f>
        <v>0</v>
      </c>
      <c r="U153" s="73"/>
      <c r="W153" s="83"/>
      <c r="X153" s="112">
        <f>SUM(X150:X152)</f>
        <v>0</v>
      </c>
      <c r="Y153" s="73"/>
      <c r="AA153" s="83"/>
      <c r="AB153" s="112">
        <f>SUM(AB150:AB152)</f>
        <v>0</v>
      </c>
      <c r="AC153" s="73"/>
    </row>
    <row r="154" spans="1:29" s="39" customFormat="1" x14ac:dyDescent="0.25">
      <c r="A154" s="153"/>
      <c r="B154" s="1317"/>
      <c r="C154" s="1243"/>
      <c r="D154" s="2"/>
      <c r="E154" s="1249"/>
      <c r="F154" s="2"/>
      <c r="G154" s="1399"/>
      <c r="H154" s="2"/>
      <c r="I154" s="1257"/>
      <c r="J154" s="66"/>
      <c r="K154" s="1399"/>
      <c r="L154" s="2"/>
      <c r="M154" s="1335"/>
      <c r="O154" s="1399"/>
      <c r="P154" s="2"/>
      <c r="Q154" s="1335"/>
      <c r="R154" s="109"/>
      <c r="S154" s="46"/>
      <c r="T154" s="2"/>
      <c r="U154" s="73"/>
      <c r="W154" s="46"/>
      <c r="X154" s="2"/>
      <c r="Y154" s="73"/>
      <c r="AA154" s="46"/>
      <c r="AB154" s="2"/>
      <c r="AC154" s="73"/>
    </row>
    <row r="155" spans="1:29" s="39" customFormat="1" x14ac:dyDescent="0.25">
      <c r="A155" s="153"/>
      <c r="B155" s="1323" t="s">
        <v>544</v>
      </c>
      <c r="C155" s="1243"/>
      <c r="D155" s="2"/>
      <c r="E155" s="1249"/>
      <c r="F155" s="2"/>
      <c r="G155" s="1527"/>
      <c r="H155" s="2"/>
      <c r="I155" s="1257"/>
      <c r="J155" s="66"/>
      <c r="K155" s="1550"/>
      <c r="L155" s="2"/>
      <c r="M155" s="1335"/>
      <c r="O155" s="1550"/>
      <c r="P155" s="2"/>
      <c r="Q155" s="1335"/>
      <c r="R155" s="109"/>
      <c r="T155" s="2"/>
      <c r="U155" s="73"/>
      <c r="X155" s="2"/>
      <c r="Y155" s="73"/>
      <c r="AB155" s="2"/>
      <c r="AC155" s="73"/>
    </row>
    <row r="156" spans="1:29" s="39" customFormat="1" x14ac:dyDescent="0.25">
      <c r="A156" s="153"/>
      <c r="B156" s="1326" t="s">
        <v>545</v>
      </c>
      <c r="C156" s="1243" t="s">
        <v>551</v>
      </c>
      <c r="D156" s="2">
        <v>18000</v>
      </c>
      <c r="E156" s="1249"/>
      <c r="F156" s="2"/>
      <c r="G156" s="1527">
        <f t="shared" ref="G156:G161" si="89">IF(D156=0,"0.00%",(H156-D156)/D156)</f>
        <v>-0.58333333333333337</v>
      </c>
      <c r="H156" s="2">
        <v>7500</v>
      </c>
      <c r="I156" s="1240"/>
      <c r="J156" s="66"/>
      <c r="K156" s="1527">
        <f t="shared" ref="K156:K161" si="90">IF(H156=0,"0.00%",(L156-H156)/H156)</f>
        <v>0</v>
      </c>
      <c r="L156" s="2">
        <f>+H156</f>
        <v>7500</v>
      </c>
      <c r="M156" s="1524"/>
      <c r="O156" s="1527">
        <f t="shared" ref="O156:O161" si="91">IF(L156=0,"0.00%",(P156-L156)/L156)</f>
        <v>0</v>
      </c>
      <c r="P156" s="2">
        <f>+L156</f>
        <v>7500</v>
      </c>
      <c r="Q156" s="1524"/>
      <c r="R156" s="109"/>
      <c r="T156" s="2">
        <f>+P156</f>
        <v>7500</v>
      </c>
      <c r="U156" s="36" t="s">
        <v>174</v>
      </c>
      <c r="X156" s="2">
        <f>+T156</f>
        <v>7500</v>
      </c>
      <c r="Y156" s="36" t="s">
        <v>174</v>
      </c>
      <c r="AB156" s="2">
        <f>+X156</f>
        <v>7500</v>
      </c>
      <c r="AC156" s="36" t="s">
        <v>174</v>
      </c>
    </row>
    <row r="157" spans="1:29" s="39" customFormat="1" x14ac:dyDescent="0.25">
      <c r="A157" s="153"/>
      <c r="B157" s="1326" t="s">
        <v>547</v>
      </c>
      <c r="C157" s="1243" t="s">
        <v>552</v>
      </c>
      <c r="D157" s="2">
        <v>117374</v>
      </c>
      <c r="E157" s="1249"/>
      <c r="F157" s="2"/>
      <c r="G157" s="1527">
        <f t="shared" ref="G157:G158" si="92">IF(D157=0,"0.00%",(H157-D157)/D157)</f>
        <v>0</v>
      </c>
      <c r="H157" s="2">
        <v>117374</v>
      </c>
      <c r="I157" s="1240"/>
      <c r="J157" s="66"/>
      <c r="K157" s="1527">
        <f t="shared" ref="K157:K158" si="93">IF(H157=0,"0.00%",(L157-H157)/H157)</f>
        <v>0</v>
      </c>
      <c r="L157" s="2">
        <f>+H157</f>
        <v>117374</v>
      </c>
      <c r="M157" s="1524"/>
      <c r="O157" s="1527">
        <f t="shared" ref="O157:O158" si="94">IF(L157=0,"0.00%",(P157-L157)/L157)</f>
        <v>0</v>
      </c>
      <c r="P157" s="2">
        <f>+L157</f>
        <v>117374</v>
      </c>
      <c r="Q157" s="1524"/>
      <c r="R157" s="109"/>
      <c r="T157" s="2">
        <v>0</v>
      </c>
      <c r="U157" s="36"/>
      <c r="X157" s="2">
        <v>0</v>
      </c>
      <c r="Y157" s="36"/>
      <c r="AB157" s="2">
        <v>0</v>
      </c>
      <c r="AC157" s="36"/>
    </row>
    <row r="158" spans="1:29" s="39" customFormat="1" x14ac:dyDescent="0.25">
      <c r="A158" s="153"/>
      <c r="B158" s="1326" t="s">
        <v>548</v>
      </c>
      <c r="C158" s="1243" t="s">
        <v>553</v>
      </c>
      <c r="D158" s="2">
        <v>-606260</v>
      </c>
      <c r="E158" s="1249"/>
      <c r="F158" s="2"/>
      <c r="G158" s="1527">
        <f t="shared" si="92"/>
        <v>0.26353709629531885</v>
      </c>
      <c r="H158" s="2">
        <v>-766032</v>
      </c>
      <c r="I158" s="1240"/>
      <c r="J158" s="66"/>
      <c r="K158" s="1527">
        <f t="shared" si="93"/>
        <v>3.1899450675689792E-2</v>
      </c>
      <c r="L158" s="2">
        <f>ROUND(H158*(LEFT(M158,5)+1),0)</f>
        <v>-790468</v>
      </c>
      <c r="M158" s="1524" t="str">
        <f>TEXT('MYP Assumptions'!$F$72,"0.00%")&amp;", CPI"</f>
        <v>3.19%, CPI</v>
      </c>
      <c r="O158" s="1527">
        <f t="shared" si="94"/>
        <v>2.8599513199775321E-2</v>
      </c>
      <c r="P158" s="2">
        <f t="shared" ref="P158" si="95">ROUND(L158*(LEFT(Q158,5)+1),0)</f>
        <v>-813075</v>
      </c>
      <c r="Q158" s="1524" t="str">
        <f>TEXT('MYP Assumptions'!$G$72,"0.00%")&amp;", CPI"</f>
        <v>2.86%, CPI</v>
      </c>
      <c r="R158" s="109"/>
      <c r="T158" s="2">
        <v>0</v>
      </c>
      <c r="U158" s="36"/>
      <c r="X158" s="2">
        <v>0</v>
      </c>
      <c r="Y158" s="36"/>
      <c r="AB158" s="2">
        <v>0</v>
      </c>
      <c r="AC158" s="36"/>
    </row>
    <row r="159" spans="1:29" s="39" customFormat="1" x14ac:dyDescent="0.25">
      <c r="A159" s="153"/>
      <c r="B159" s="1326" t="s">
        <v>549</v>
      </c>
      <c r="C159" s="1243" t="s">
        <v>554</v>
      </c>
      <c r="D159" s="2">
        <v>-132056</v>
      </c>
      <c r="E159" s="1249"/>
      <c r="F159" s="2"/>
      <c r="G159" s="1527">
        <f t="shared" si="89"/>
        <v>0.11625371054704065</v>
      </c>
      <c r="H159" s="2">
        <v>-147408</v>
      </c>
      <c r="I159" s="1240"/>
      <c r="J159" s="66"/>
      <c r="K159" s="1527">
        <f t="shared" si="90"/>
        <v>3.1897861717138827E-2</v>
      </c>
      <c r="L159" s="2">
        <f t="shared" ref="L159" si="96">ROUND(H159*(LEFT(M159,5)+1),0)</f>
        <v>-152110</v>
      </c>
      <c r="M159" s="1524" t="str">
        <f>TEXT('MYP Assumptions'!$F$72,"0.00%")&amp;", CPI"</f>
        <v>3.19%, CPI</v>
      </c>
      <c r="O159" s="1527">
        <f t="shared" si="91"/>
        <v>2.8597725330353034E-2</v>
      </c>
      <c r="P159" s="2">
        <f t="shared" ref="P159" si="97">ROUND(L159*(LEFT(Q159,5)+1),0)</f>
        <v>-156460</v>
      </c>
      <c r="Q159" s="1524" t="str">
        <f>TEXT('MYP Assumptions'!$G$72,"0.00%")&amp;", CPI"</f>
        <v>2.86%, CPI</v>
      </c>
      <c r="R159" s="109"/>
      <c r="T159" s="2">
        <v>0</v>
      </c>
      <c r="U159" s="36"/>
      <c r="X159" s="2">
        <v>0</v>
      </c>
      <c r="Y159" s="36"/>
      <c r="AB159" s="2">
        <v>0</v>
      </c>
      <c r="AC159" s="36"/>
    </row>
    <row r="160" spans="1:29" s="39" customFormat="1" x14ac:dyDescent="0.25">
      <c r="A160" s="153"/>
      <c r="B160" s="1326">
        <v>7439</v>
      </c>
      <c r="C160" s="1243" t="s">
        <v>934</v>
      </c>
      <c r="D160" s="2">
        <v>0</v>
      </c>
      <c r="E160" s="1249"/>
      <c r="F160" s="2"/>
      <c r="G160" s="1527" t="s">
        <v>936</v>
      </c>
      <c r="H160" s="2">
        <v>88000</v>
      </c>
      <c r="I160" s="1240" t="s">
        <v>935</v>
      </c>
      <c r="J160" s="66"/>
      <c r="K160" s="1527">
        <f t="shared" si="90"/>
        <v>0</v>
      </c>
      <c r="L160" s="2">
        <f>+H160</f>
        <v>88000</v>
      </c>
      <c r="M160" s="1524" t="s">
        <v>174</v>
      </c>
      <c r="O160" s="1527">
        <f t="shared" si="91"/>
        <v>0</v>
      </c>
      <c r="P160" s="2">
        <f>+L160</f>
        <v>88000</v>
      </c>
      <c r="Q160" s="1524" t="s">
        <v>174</v>
      </c>
      <c r="R160" s="109"/>
      <c r="T160" s="2"/>
      <c r="U160" s="36"/>
      <c r="X160" s="2"/>
      <c r="Y160" s="36"/>
      <c r="AB160" s="2"/>
      <c r="AC160" s="36"/>
    </row>
    <row r="161" spans="1:29" s="39" customFormat="1" x14ac:dyDescent="0.25">
      <c r="A161" s="153"/>
      <c r="B161" s="1326" t="s">
        <v>550</v>
      </c>
      <c r="C161" s="1243" t="s">
        <v>555</v>
      </c>
      <c r="D161" s="2">
        <v>337000</v>
      </c>
      <c r="E161" s="1249"/>
      <c r="F161" s="2"/>
      <c r="G161" s="1527">
        <f t="shared" si="89"/>
        <v>0</v>
      </c>
      <c r="H161" s="2">
        <f>+D161</f>
        <v>337000</v>
      </c>
      <c r="I161" s="1240" t="s">
        <v>174</v>
      </c>
      <c r="J161" s="66"/>
      <c r="K161" s="1527">
        <f t="shared" si="90"/>
        <v>0</v>
      </c>
      <c r="L161" s="2">
        <f>+H161</f>
        <v>337000</v>
      </c>
      <c r="M161" s="1524"/>
      <c r="O161" s="1527">
        <f t="shared" si="91"/>
        <v>0</v>
      </c>
      <c r="P161" s="2">
        <f>+L161</f>
        <v>337000</v>
      </c>
      <c r="Q161" s="1524" t="s">
        <v>174</v>
      </c>
      <c r="R161" s="109"/>
      <c r="T161" s="2">
        <v>0</v>
      </c>
      <c r="U161" s="36"/>
      <c r="X161" s="2">
        <v>0</v>
      </c>
      <c r="Y161" s="36"/>
      <c r="AB161" s="2">
        <v>0</v>
      </c>
      <c r="AC161" s="36"/>
    </row>
    <row r="162" spans="1:29" s="39" customFormat="1" x14ac:dyDescent="0.25">
      <c r="A162" s="153"/>
      <c r="B162" s="1326" t="s">
        <v>550</v>
      </c>
      <c r="C162" s="1243" t="s">
        <v>557</v>
      </c>
      <c r="D162" s="2">
        <v>200000</v>
      </c>
      <c r="E162" s="1249"/>
      <c r="F162" s="2"/>
      <c r="G162" s="1527">
        <f t="shared" ref="G162:G163" si="98">IF(D162=0,"0.00%",(H162-D162)/D162)</f>
        <v>0</v>
      </c>
      <c r="H162" s="2">
        <f t="shared" ref="H162:H163" si="99">+D162</f>
        <v>200000</v>
      </c>
      <c r="I162" s="1240" t="s">
        <v>174</v>
      </c>
      <c r="J162" s="66"/>
      <c r="K162" s="1527">
        <f t="shared" ref="K162:K163" si="100">IF(H162=0,"0.00%",(L162-H162)/H162)</f>
        <v>-0.5</v>
      </c>
      <c r="L162" s="2">
        <v>100000</v>
      </c>
      <c r="M162" s="1524"/>
      <c r="O162" s="1527">
        <f t="shared" ref="O162:O163" si="101">IF(L162=0,"0.00%",(P162-L162)/L162)</f>
        <v>0</v>
      </c>
      <c r="P162" s="2">
        <f t="shared" ref="P162:P163" si="102">+L162</f>
        <v>100000</v>
      </c>
      <c r="Q162" s="1524" t="s">
        <v>174</v>
      </c>
      <c r="R162" s="109"/>
      <c r="T162" s="2"/>
      <c r="U162" s="36"/>
      <c r="X162" s="2"/>
      <c r="Y162" s="36"/>
      <c r="AB162" s="2"/>
      <c r="AC162" s="36"/>
    </row>
    <row r="163" spans="1:29" s="39" customFormat="1" x14ac:dyDescent="0.25">
      <c r="A163" s="153"/>
      <c r="B163" s="1326" t="s">
        <v>550</v>
      </c>
      <c r="C163" s="1243" t="s">
        <v>556</v>
      </c>
      <c r="D163" s="2">
        <v>25000</v>
      </c>
      <c r="E163" s="1249"/>
      <c r="F163" s="2"/>
      <c r="G163" s="1527">
        <f t="shared" si="98"/>
        <v>0</v>
      </c>
      <c r="H163" s="2">
        <f t="shared" si="99"/>
        <v>25000</v>
      </c>
      <c r="I163" s="1240" t="s">
        <v>174</v>
      </c>
      <c r="J163" s="66"/>
      <c r="K163" s="1527">
        <f t="shared" si="100"/>
        <v>0</v>
      </c>
      <c r="L163" s="2">
        <f>+H163</f>
        <v>25000</v>
      </c>
      <c r="M163" s="1524"/>
      <c r="O163" s="1527">
        <f t="shared" si="101"/>
        <v>0</v>
      </c>
      <c r="P163" s="2">
        <f t="shared" si="102"/>
        <v>25000</v>
      </c>
      <c r="Q163" s="1524" t="s">
        <v>174</v>
      </c>
      <c r="R163" s="109"/>
      <c r="T163" s="2"/>
      <c r="U163" s="36"/>
      <c r="X163" s="2"/>
      <c r="Y163" s="36"/>
      <c r="AB163" s="2"/>
      <c r="AC163" s="36"/>
    </row>
    <row r="164" spans="1:29" s="39" customFormat="1" x14ac:dyDescent="0.25">
      <c r="A164" s="153"/>
      <c r="B164" s="1326"/>
      <c r="C164" s="1243"/>
      <c r="D164" s="2"/>
      <c r="E164" s="1249"/>
      <c r="F164" s="2"/>
      <c r="G164" s="1527"/>
      <c r="H164" s="2"/>
      <c r="I164" s="1240"/>
      <c r="J164" s="66"/>
      <c r="K164" s="1527"/>
      <c r="L164" s="2"/>
      <c r="M164" s="1524"/>
      <c r="O164" s="1527"/>
      <c r="P164" s="2"/>
      <c r="Q164" s="1524"/>
      <c r="R164" s="109"/>
      <c r="T164" s="2"/>
      <c r="U164" s="36"/>
      <c r="X164" s="2"/>
      <c r="Y164" s="36"/>
      <c r="AB164" s="2"/>
      <c r="AC164" s="36"/>
    </row>
    <row r="165" spans="1:29" s="39" customFormat="1" ht="9" customHeight="1" x14ac:dyDescent="0.25">
      <c r="A165" s="153"/>
      <c r="B165" s="1385"/>
      <c r="C165" s="1386"/>
      <c r="D165" s="2"/>
      <c r="E165" s="1249"/>
      <c r="F165" s="2"/>
      <c r="G165" s="1527"/>
      <c r="H165" s="2"/>
      <c r="I165" s="1257"/>
      <c r="J165" s="66"/>
      <c r="K165" s="1550"/>
      <c r="L165" s="2"/>
      <c r="M165" s="1518"/>
      <c r="O165" s="1550"/>
      <c r="P165" s="2"/>
      <c r="Q165" s="1518"/>
      <c r="R165" s="109"/>
      <c r="T165" s="2"/>
      <c r="U165" s="36"/>
      <c r="X165" s="2"/>
      <c r="Y165" s="36"/>
      <c r="AB165" s="2"/>
      <c r="AC165" s="36"/>
    </row>
    <row r="166" spans="1:29" s="13" customFormat="1" x14ac:dyDescent="0.25">
      <c r="A166" s="155"/>
      <c r="B166" s="1325"/>
      <c r="C166" s="1325"/>
      <c r="D166" s="161">
        <f>SUM(D156:D165)</f>
        <v>-40942</v>
      </c>
      <c r="E166" s="1247"/>
      <c r="F166" s="10"/>
      <c r="G166" s="1527">
        <f t="shared" ref="G166" si="103">IF(D166=0,"0.00%",(H166-D166)/D166)</f>
        <v>2.3844462898734795</v>
      </c>
      <c r="H166" s="161">
        <f>SUM(H156:H165)</f>
        <v>-138566</v>
      </c>
      <c r="I166" s="1882">
        <f>+H166-D166</f>
        <v>-97624</v>
      </c>
      <c r="J166" s="57"/>
      <c r="K166" s="1527">
        <f t="shared" ref="K166" si="104">IF(H166=0,"0.00%",(L166-H166)/H166)</f>
        <v>0.93196022112206456</v>
      </c>
      <c r="L166" s="161">
        <f>SUM(L156:L165)</f>
        <v>-267704</v>
      </c>
      <c r="M166" s="1882">
        <f>+L166-H166</f>
        <v>-129138</v>
      </c>
      <c r="O166" s="1527">
        <f t="shared" ref="O166" si="105">IF(L166=0,"0.00%",(P166-L166)/L166)</f>
        <v>0.10069703852015659</v>
      </c>
      <c r="P166" s="161">
        <f>SUM(P156:P165)</f>
        <v>-294661</v>
      </c>
      <c r="Q166" s="1882">
        <f>+P166-L166</f>
        <v>-26957</v>
      </c>
      <c r="R166" s="111"/>
      <c r="T166" s="161">
        <f>SUM(T156:T165)</f>
        <v>7500</v>
      </c>
      <c r="U166" s="6"/>
      <c r="X166" s="161">
        <f>SUM(X156:X165)</f>
        <v>7500</v>
      </c>
      <c r="Y166" s="6"/>
      <c r="AB166" s="161">
        <f>SUM(AB156:AB165)</f>
        <v>7500</v>
      </c>
      <c r="AC166" s="6"/>
    </row>
    <row r="167" spans="1:29" s="39" customFormat="1" x14ac:dyDescent="0.25">
      <c r="A167" s="153"/>
      <c r="B167" s="1317"/>
      <c r="C167" s="1243"/>
      <c r="D167" s="2"/>
      <c r="E167" s="1249"/>
      <c r="F167" s="2"/>
      <c r="G167" s="1399"/>
      <c r="H167" s="2"/>
      <c r="I167" s="1257"/>
      <c r="J167" s="66"/>
      <c r="K167" s="1399"/>
      <c r="L167" s="2"/>
      <c r="M167" s="1335"/>
      <c r="O167" s="1399"/>
      <c r="P167" s="2"/>
      <c r="Q167" s="1335"/>
      <c r="R167" s="109"/>
      <c r="S167" s="46"/>
      <c r="T167" s="2"/>
      <c r="U167" s="73"/>
      <c r="W167" s="46"/>
      <c r="X167" s="2"/>
      <c r="Y167" s="73"/>
      <c r="AA167" s="46"/>
      <c r="AB167" s="2"/>
      <c r="AC167" s="73"/>
    </row>
    <row r="168" spans="1:29" x14ac:dyDescent="0.25">
      <c r="A168" s="66"/>
      <c r="H168" s="2"/>
      <c r="L168" s="2"/>
      <c r="M168" s="1394"/>
      <c r="Q168" s="1394"/>
      <c r="U168" s="124"/>
      <c r="Y168" s="124"/>
      <c r="AC168" s="124"/>
    </row>
    <row r="169" spans="1:29" x14ac:dyDescent="0.25">
      <c r="A169" s="29"/>
      <c r="B169" s="1380" t="s">
        <v>0</v>
      </c>
      <c r="D169" s="8">
        <f>SUM(D147,D107,D93,D31,D153,D166)</f>
        <v>47275511.219999999</v>
      </c>
      <c r="G169" s="1527">
        <f>IF(D169=0,"0.00%",(H169-D169)/D169)</f>
        <v>2.7000993686980616E-2</v>
      </c>
      <c r="H169" s="8">
        <f>SUM(H147,H107,H93,H31,H153,H166)</f>
        <v>48551997</v>
      </c>
      <c r="I169" s="1882">
        <f>+H169-D169</f>
        <v>1276485.7800000012</v>
      </c>
      <c r="J169" s="29"/>
      <c r="K169" s="1527">
        <f>IF(H169=0,"0.00%",(L169-H169)/H169)</f>
        <v>-9.6814143401763673E-3</v>
      </c>
      <c r="L169" s="8">
        <f>SUM(L147,L107,L93,L31,L153,L166)</f>
        <v>48081945</v>
      </c>
      <c r="M169" s="1882">
        <f>+L169-H169</f>
        <v>-470052</v>
      </c>
      <c r="O169" s="1527">
        <f>IF(L169=0,"0.00%",(P169-L169)/L169)</f>
        <v>3.3795700236336115E-2</v>
      </c>
      <c r="P169" s="8">
        <f>SUM(P147,P107,P93,P31,P153,P166)</f>
        <v>49706908</v>
      </c>
      <c r="Q169" s="1882">
        <f>+P169-L169</f>
        <v>1624963</v>
      </c>
      <c r="S169" s="130">
        <f>IF(P169=0,"0.00%",(T169-P169)/P169)</f>
        <v>-0.20172109679403114</v>
      </c>
      <c r="T169" s="8">
        <f>SUM(T147,T107,T93,T31)</f>
        <v>39679976</v>
      </c>
      <c r="U169" s="124"/>
      <c r="W169" s="130">
        <f>IF(T169=0,"0.00%",(X169-T169)/T169)</f>
        <v>2.6214027952033037E-2</v>
      </c>
      <c r="X169" s="8">
        <f>SUM(X147,X107,X93,X31)</f>
        <v>40720148</v>
      </c>
      <c r="Y169" s="124"/>
      <c r="AA169" s="130">
        <f>IF(X169=0,"0.00%",(AB169-X169)/X169)</f>
        <v>2.6454790881408386E-2</v>
      </c>
      <c r="AB169" s="8">
        <f>SUM(AB147,AB107,AB93,AB31)</f>
        <v>41797391</v>
      </c>
      <c r="AC169" s="124"/>
    </row>
    <row r="170" spans="1:29" x14ac:dyDescent="0.25">
      <c r="A170" s="66"/>
      <c r="H170" s="2"/>
      <c r="L170" s="2"/>
      <c r="M170" s="1394"/>
      <c r="Q170" s="1394"/>
      <c r="U170" s="124"/>
      <c r="Y170" s="124"/>
      <c r="AC170" s="124"/>
    </row>
    <row r="171" spans="1:29" x14ac:dyDescent="0.25">
      <c r="A171" s="66"/>
      <c r="B171" s="1380" t="s">
        <v>138</v>
      </c>
      <c r="D171" s="3">
        <f>D29-D169</f>
        <v>-1882630.75</v>
      </c>
      <c r="G171" s="1527">
        <f>IF(D171=0,"0.00%",(H171-D171)/D171)</f>
        <v>1.7478511120675151</v>
      </c>
      <c r="H171" s="3">
        <f>H29-H169</f>
        <v>-5173189</v>
      </c>
      <c r="K171" s="1527">
        <f>IF(H171=0,"0.00%",(L171-H171)/H171)</f>
        <v>-0.44464310051304862</v>
      </c>
      <c r="L171" s="3">
        <f>L29-L169</f>
        <v>-2872966.2035000026</v>
      </c>
      <c r="M171" s="1394"/>
      <c r="O171" s="1527">
        <f>IF(L171=0,"0.00%",(P171-L171)/L171)</f>
        <v>0.20590219737412496</v>
      </c>
      <c r="P171" s="3">
        <f>P29-P169</f>
        <v>-3464516.2577822506</v>
      </c>
      <c r="Q171" s="1394"/>
      <c r="S171" s="130">
        <f>IF(P171=0,"0.00%",(T171-P171)/P171)</f>
        <v>10.453251492432146</v>
      </c>
      <c r="T171" s="3">
        <f>T29-T169</f>
        <v>-39679976</v>
      </c>
      <c r="U171" s="124"/>
      <c r="W171" s="130">
        <f>IF(T171=0,"0.00%",(X171-T171)/T171)</f>
        <v>2.6214027952033037E-2</v>
      </c>
      <c r="X171" s="3">
        <f>X29-X169</f>
        <v>-40720148</v>
      </c>
      <c r="Y171" s="124"/>
      <c r="AA171" s="130">
        <f>IF(X171=0,"0.00%",(AB171-X171)/X171)</f>
        <v>2.6454790881408386E-2</v>
      </c>
      <c r="AB171" s="3">
        <f>AB29-AB169</f>
        <v>-41797391</v>
      </c>
      <c r="AC171" s="124"/>
    </row>
    <row r="172" spans="1:29" x14ac:dyDescent="0.25">
      <c r="B172" s="1380"/>
      <c r="C172" s="1374"/>
      <c r="D172" s="3"/>
      <c r="H172" s="3"/>
      <c r="L172" s="3"/>
      <c r="M172" s="1394"/>
      <c r="P172" s="3"/>
      <c r="Q172" s="1394"/>
      <c r="T172" s="3"/>
      <c r="U172" s="124"/>
      <c r="X172" s="3"/>
      <c r="Y172" s="124"/>
      <c r="AB172" s="3"/>
      <c r="AC172" s="124"/>
    </row>
    <row r="173" spans="1:29" x14ac:dyDescent="0.25">
      <c r="B173" s="1380" t="s">
        <v>136</v>
      </c>
      <c r="C173" s="1376"/>
      <c r="D173" s="3">
        <f>D7+D171</f>
        <v>6874716.6300000008</v>
      </c>
      <c r="G173" s="1527">
        <f>IF(D173=0,"0.00%",(H173-D173)/D173)</f>
        <v>-0.75249487046857366</v>
      </c>
      <c r="H173" s="3">
        <f>H7+H171</f>
        <v>1701527.6300000008</v>
      </c>
      <c r="K173" s="1527">
        <f>IF(H173=0,"0.00%",(L173-H173)/H173)</f>
        <v>-1.6884628570504032</v>
      </c>
      <c r="L173" s="3">
        <f>L7+L171</f>
        <v>-1171438.5735000018</v>
      </c>
      <c r="M173" s="1394"/>
      <c r="O173" s="1527">
        <f>IF(L173=0,"0.00%",(P173-L173)/L173)</f>
        <v>2.9574886265107656</v>
      </c>
      <c r="P173" s="3">
        <f>P7+P171</f>
        <v>-4635954.8312822524</v>
      </c>
      <c r="Q173" s="1394"/>
      <c r="S173" s="130">
        <f>IF(P173=0,"0.00%",(T173-P173)/P173)</f>
        <v>8.5591808902557762</v>
      </c>
      <c r="T173" s="3">
        <f>T7+T171</f>
        <v>-44315930.831282251</v>
      </c>
      <c r="U173" s="124"/>
      <c r="W173" s="130">
        <f>IF(T173=0,"0.00%",(X173-T173)/T173)</f>
        <v>0.91886026618797745</v>
      </c>
      <c r="X173" s="3">
        <f>X7+X171</f>
        <v>-85036078.831282258</v>
      </c>
      <c r="Y173" s="124"/>
      <c r="AA173" s="130">
        <f>IF(X173=0,"0.00%",(AB173-X173)/X173)</f>
        <v>0.49152538045561878</v>
      </c>
      <c r="AB173" s="3">
        <f>AB7+AB171</f>
        <v>-126833469.83128226</v>
      </c>
      <c r="AC173" s="124"/>
    </row>
    <row r="174" spans="1:29" x14ac:dyDescent="0.25">
      <c r="C174" s="1250"/>
      <c r="G174" s="1540"/>
      <c r="H174" s="5"/>
      <c r="I174" s="1258"/>
      <c r="J174" s="29"/>
      <c r="L174" s="5"/>
      <c r="M174" s="1394"/>
      <c r="P174" s="5"/>
      <c r="Q174" s="1394"/>
      <c r="T174" s="5"/>
      <c r="U174" s="124"/>
      <c r="X174" s="5"/>
      <c r="Y174" s="124"/>
      <c r="AB174" s="5"/>
      <c r="AC174" s="124"/>
    </row>
    <row r="175" spans="1:29" x14ac:dyDescent="0.25">
      <c r="C175" s="1257"/>
      <c r="G175" s="1540"/>
      <c r="H175" s="36"/>
      <c r="L175" s="2"/>
      <c r="M175" s="1394"/>
      <c r="Q175" s="1394"/>
      <c r="U175" s="124"/>
      <c r="Y175" s="124"/>
      <c r="AC175" s="124"/>
    </row>
    <row r="176" spans="1:29" x14ac:dyDescent="0.25">
      <c r="C176" s="1257"/>
      <c r="G176" s="1540"/>
      <c r="H176" s="36"/>
      <c r="L176" s="2"/>
      <c r="M176" s="1394"/>
      <c r="Q176" s="1394"/>
      <c r="U176" s="124"/>
      <c r="Y176" s="124"/>
      <c r="AC176" s="124"/>
    </row>
    <row r="177" spans="1:29" x14ac:dyDescent="0.25">
      <c r="C177" s="1257"/>
      <c r="G177" s="1540"/>
      <c r="H177" s="36"/>
      <c r="L177" s="2"/>
      <c r="M177" s="1394"/>
      <c r="Q177" s="1394"/>
      <c r="U177" s="124"/>
      <c r="Y177" s="124"/>
      <c r="AC177" s="124"/>
    </row>
    <row r="178" spans="1:29" x14ac:dyDescent="0.25">
      <c r="C178" s="1257"/>
      <c r="G178" s="1540"/>
      <c r="H178" s="36"/>
      <c r="L178" s="2"/>
      <c r="M178" s="1394"/>
      <c r="Q178" s="1394"/>
      <c r="U178" s="124"/>
      <c r="Y178" s="124"/>
      <c r="AC178" s="124"/>
    </row>
    <row r="179" spans="1:29" s="145" customFormat="1" ht="11.25" x14ac:dyDescent="0.2">
      <c r="A179" s="432"/>
      <c r="B179" s="1387"/>
      <c r="C179" s="1388" t="s">
        <v>273</v>
      </c>
      <c r="D179" s="135">
        <f>+D166+D153+D147+D107+D93</f>
        <v>47275511.219999999</v>
      </c>
      <c r="E179" s="1252"/>
      <c r="G179" s="1541" t="s">
        <v>226</v>
      </c>
      <c r="H179" s="135">
        <f>+H166+H153+H147+H107+H93</f>
        <v>48551997</v>
      </c>
      <c r="I179" s="1260"/>
      <c r="J179" s="136"/>
      <c r="K179" s="1541" t="s">
        <v>226</v>
      </c>
      <c r="L179" s="135">
        <f>+L166+L153+L147+L107+L93</f>
        <v>48081945</v>
      </c>
      <c r="M179" s="1396"/>
      <c r="O179" s="1541" t="s">
        <v>226</v>
      </c>
      <c r="P179" s="135">
        <f>+P166+P153+P147+P107+P93</f>
        <v>49706908</v>
      </c>
      <c r="Q179" s="1396"/>
      <c r="R179" s="433"/>
      <c r="S179" s="135" t="s">
        <v>226</v>
      </c>
      <c r="T179" s="135">
        <f>+T147+T107+T91+T79+T64</f>
        <v>39679976</v>
      </c>
      <c r="U179" s="137"/>
      <c r="W179" s="135" t="s">
        <v>226</v>
      </c>
      <c r="X179" s="135">
        <f>+X147+X107+X91+X79+X64</f>
        <v>40720148</v>
      </c>
      <c r="Y179" s="137"/>
      <c r="AA179" s="135" t="s">
        <v>226</v>
      </c>
      <c r="AB179" s="135">
        <f>+AB147+AB107+AB91+AB79+AB64</f>
        <v>41797391</v>
      </c>
      <c r="AC179" s="137"/>
    </row>
    <row r="180" spans="1:29" s="1421" customFormat="1" x14ac:dyDescent="0.25">
      <c r="A180" s="141"/>
      <c r="B180" s="1387"/>
      <c r="C180" s="1423"/>
      <c r="D180" s="1424">
        <f>+D169-D179</f>
        <v>0</v>
      </c>
      <c r="E180" s="1392"/>
      <c r="G180" s="1542"/>
      <c r="H180" s="1424">
        <f>+H169-H179</f>
        <v>0</v>
      </c>
      <c r="I180" s="1392"/>
      <c r="J180" s="141"/>
      <c r="K180" s="1542"/>
      <c r="L180" s="1424">
        <f>+L169-L179</f>
        <v>0</v>
      </c>
      <c r="M180" s="1422"/>
      <c r="O180" s="1542"/>
      <c r="P180" s="1424">
        <f>+P169-P179</f>
        <v>0</v>
      </c>
      <c r="Q180" s="1525"/>
      <c r="R180" s="424"/>
      <c r="S180" s="1424"/>
      <c r="T180" s="1424"/>
      <c r="W180" s="1424"/>
      <c r="X180" s="1424"/>
      <c r="AA180" s="1424"/>
      <c r="AB180" s="1424"/>
    </row>
    <row r="181" spans="1:29" s="1421" customFormat="1" ht="11.25" x14ac:dyDescent="0.2">
      <c r="A181" s="141"/>
      <c r="B181" s="1387"/>
      <c r="C181" s="1423"/>
      <c r="D181" s="1424"/>
      <c r="E181" s="1392"/>
      <c r="G181" s="1542"/>
      <c r="H181" s="1424"/>
      <c r="I181" s="1392"/>
      <c r="J181" s="141"/>
      <c r="K181" s="1542"/>
      <c r="L181" s="1424"/>
      <c r="M181" s="1525"/>
      <c r="O181" s="1542"/>
      <c r="P181" s="1424"/>
      <c r="Q181" s="1525"/>
      <c r="R181" s="433"/>
      <c r="S181" s="1424"/>
      <c r="T181" s="1424"/>
      <c r="W181" s="1424"/>
      <c r="X181" s="1424"/>
      <c r="AA181" s="1424"/>
      <c r="AB181" s="1424"/>
    </row>
    <row r="182" spans="1:29" s="36" customFormat="1" ht="15" customHeight="1" x14ac:dyDescent="0.25">
      <c r="A182" s="66"/>
      <c r="B182" s="1389"/>
      <c r="C182" s="1389"/>
      <c r="D182" s="5"/>
      <c r="E182" s="1257"/>
      <c r="G182" s="1543"/>
      <c r="H182" s="5"/>
      <c r="I182" s="1257"/>
      <c r="J182" s="66"/>
      <c r="K182" s="1543"/>
      <c r="L182" s="5"/>
      <c r="M182" s="1518"/>
      <c r="O182" s="1543"/>
      <c r="P182" s="5"/>
      <c r="Q182" s="1518"/>
      <c r="R182" s="424"/>
      <c r="S182" s="434"/>
      <c r="T182" s="5"/>
      <c r="W182" s="434"/>
      <c r="X182" s="5"/>
      <c r="AA182" s="434"/>
      <c r="AB182" s="5"/>
    </row>
    <row r="183" spans="1:29" x14ac:dyDescent="0.25">
      <c r="A183" s="66"/>
      <c r="B183" s="1389"/>
      <c r="C183" s="1389"/>
      <c r="D183" s="36"/>
      <c r="R183" s="433"/>
    </row>
    <row r="184" spans="1:29" x14ac:dyDescent="0.25">
      <c r="A184" s="66"/>
      <c r="B184" s="1376"/>
      <c r="C184" s="1257"/>
      <c r="D184" s="25"/>
    </row>
    <row r="185" spans="1:29" x14ac:dyDescent="0.25">
      <c r="B185" s="1376"/>
      <c r="C185" s="1257"/>
      <c r="D185" s="36"/>
      <c r="R185" s="433"/>
    </row>
    <row r="186" spans="1:29" x14ac:dyDescent="0.25">
      <c r="B186" s="1376"/>
      <c r="C186" s="1257"/>
      <c r="D186" s="36"/>
    </row>
    <row r="187" spans="1:29" ht="15" customHeight="1" x14ac:dyDescent="0.25">
      <c r="B187" s="1376"/>
      <c r="C187" s="1257"/>
      <c r="D187" s="36"/>
    </row>
    <row r="188" spans="1:29" x14ac:dyDescent="0.25">
      <c r="B188" s="1376"/>
      <c r="C188" s="1257"/>
      <c r="D188" s="36"/>
    </row>
    <row r="189" spans="1:29" x14ac:dyDescent="0.25">
      <c r="B189" s="1376"/>
      <c r="C189" s="1257"/>
      <c r="D189" s="36"/>
    </row>
    <row r="190" spans="1:29" ht="15" customHeight="1" x14ac:dyDescent="0.25">
      <c r="B190" s="2150"/>
      <c r="C190" s="2150"/>
      <c r="D190" s="36"/>
    </row>
    <row r="191" spans="1:29" x14ac:dyDescent="0.25">
      <c r="B191" s="2150"/>
      <c r="C191" s="2150"/>
      <c r="D191" s="36"/>
    </row>
    <row r="192" spans="1:29" x14ac:dyDescent="0.25">
      <c r="B192" s="1376"/>
      <c r="C192" s="1257"/>
      <c r="D192" s="6"/>
    </row>
    <row r="193" spans="2:4" x14ac:dyDescent="0.25">
      <c r="B193" s="1376"/>
      <c r="C193" s="1257"/>
      <c r="D193" s="36"/>
    </row>
    <row r="194" spans="2:4" x14ac:dyDescent="0.25">
      <c r="B194" s="1376"/>
      <c r="C194" s="1257"/>
      <c r="D194" s="36"/>
    </row>
    <row r="195" spans="2:4" ht="28.5" customHeight="1" x14ac:dyDescent="0.25">
      <c r="B195" s="1376"/>
      <c r="C195" s="1257"/>
      <c r="D195" s="25"/>
    </row>
    <row r="196" spans="2:4" x14ac:dyDescent="0.25">
      <c r="B196" s="1376"/>
      <c r="C196" s="1257"/>
      <c r="D196" s="36"/>
    </row>
    <row r="197" spans="2:4" x14ac:dyDescent="0.25">
      <c r="B197" s="1376"/>
      <c r="C197" s="1257"/>
      <c r="D197" s="36"/>
    </row>
    <row r="198" spans="2:4" x14ac:dyDescent="0.25">
      <c r="B198" s="1376"/>
      <c r="C198" s="1257"/>
      <c r="D198" s="36"/>
    </row>
    <row r="199" spans="2:4" x14ac:dyDescent="0.25">
      <c r="B199" s="1376"/>
      <c r="C199" s="1257"/>
      <c r="D199" s="36"/>
    </row>
    <row r="200" spans="2:4" x14ac:dyDescent="0.25">
      <c r="B200" s="1376"/>
      <c r="C200" s="1257"/>
      <c r="D200" s="36"/>
    </row>
    <row r="201" spans="2:4" x14ac:dyDescent="0.25">
      <c r="B201" s="1376"/>
      <c r="C201" s="1257"/>
      <c r="D201" s="36"/>
    </row>
    <row r="202" spans="2:4" x14ac:dyDescent="0.25">
      <c r="B202" s="1376"/>
      <c r="C202" s="1257"/>
      <c r="D202" s="36"/>
    </row>
    <row r="203" spans="2:4" x14ac:dyDescent="0.25">
      <c r="B203" s="1376"/>
      <c r="C203" s="1257"/>
      <c r="D203" s="36"/>
    </row>
    <row r="204" spans="2:4" x14ac:dyDescent="0.25">
      <c r="B204" s="1376"/>
      <c r="C204" s="1257"/>
      <c r="D204" s="36"/>
    </row>
    <row r="205" spans="2:4" x14ac:dyDescent="0.25">
      <c r="B205" s="1376"/>
      <c r="C205" s="1257"/>
      <c r="D205" s="36"/>
    </row>
    <row r="206" spans="2:4" x14ac:dyDescent="0.25">
      <c r="B206" s="1376"/>
      <c r="C206" s="1257"/>
      <c r="D206" s="36"/>
    </row>
    <row r="207" spans="2:4" x14ac:dyDescent="0.25">
      <c r="B207" s="1376"/>
      <c r="C207" s="1257"/>
      <c r="D207" s="36"/>
    </row>
    <row r="208" spans="2:4" x14ac:dyDescent="0.25">
      <c r="B208" s="1376"/>
      <c r="C208" s="1257"/>
      <c r="D208" s="36"/>
    </row>
    <row r="209" spans="2:4" x14ac:dyDescent="0.25">
      <c r="B209" s="1376"/>
      <c r="C209" s="1257"/>
      <c r="D209" s="36"/>
    </row>
    <row r="210" spans="2:4" x14ac:dyDescent="0.25">
      <c r="B210" s="1376"/>
      <c r="C210" s="1257"/>
      <c r="D210" s="36"/>
    </row>
  </sheetData>
  <mergeCells count="1">
    <mergeCell ref="B190:C191"/>
  </mergeCells>
  <pageMargins left="0.25" right="0.25" top="0.5" bottom="0.5" header="0.25" footer="0.25"/>
  <pageSetup paperSize="17" scale="44" orientation="portrait" r:id="rId1"/>
  <headerFooter>
    <oddHeader>&amp;L&amp;F</oddHeader>
    <oddFooter>&amp;R&amp;A</oddFooter>
  </headerFooter>
  <rowBreaks count="1" manualBreakCount="1">
    <brk id="182" max="16383" man="1"/>
  </rowBreaks>
  <ignoredErrors>
    <ignoredError sqref="B24:B25 B15:B1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1"/>
  <sheetViews>
    <sheetView zoomScaleNormal="100" workbookViewId="0">
      <pane xSplit="3" ySplit="6" topLeftCell="D46"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24.85546875" style="1243" customWidth="1"/>
    <col min="4" max="4" width="16" style="2" customWidth="1"/>
    <col min="5" max="5" width="17.7109375" style="1243" customWidth="1"/>
    <col min="6" max="6" width="6" style="39" customWidth="1"/>
    <col min="7" max="7" width="10.7109375" style="1399" customWidth="1"/>
    <col min="8" max="8" width="13.85546875" style="123" bestFit="1" customWidth="1"/>
    <col min="9" max="9" width="26" style="1254" bestFit="1" customWidth="1"/>
    <col min="10" max="10" width="5.7109375" style="59" customWidth="1"/>
    <col min="11" max="11" width="9.42578125" style="1550" bestFit="1"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744</v>
      </c>
      <c r="D1" s="97">
        <v>0</v>
      </c>
      <c r="E1" s="1241"/>
      <c r="F1" s="98"/>
      <c r="G1" s="75"/>
      <c r="H1" s="99">
        <v>0</v>
      </c>
      <c r="I1" s="1241"/>
      <c r="L1" s="123">
        <v>0</v>
      </c>
      <c r="M1" s="1241"/>
      <c r="P1" s="123">
        <v>0</v>
      </c>
      <c r="Q1" s="1241"/>
      <c r="T1" s="86">
        <v>0</v>
      </c>
      <c r="U1" s="98"/>
      <c r="X1" s="86">
        <v>0</v>
      </c>
      <c r="Y1" s="98"/>
      <c r="AB1" s="86">
        <v>0</v>
      </c>
      <c r="AC1" s="98"/>
    </row>
    <row r="2" spans="1:29" ht="17.25" x14ac:dyDescent="0.4">
      <c r="B2" s="1319" t="s">
        <v>59</v>
      </c>
      <c r="C2" s="1425" t="s">
        <v>959</v>
      </c>
      <c r="D2" s="99">
        <v>0</v>
      </c>
      <c r="E2" s="1241"/>
      <c r="F2" s="98"/>
      <c r="G2" s="1534"/>
      <c r="H2" s="99">
        <v>0</v>
      </c>
      <c r="I2" s="1241"/>
      <c r="L2" s="87">
        <v>0</v>
      </c>
      <c r="M2" s="1241"/>
      <c r="P2" s="87">
        <v>0</v>
      </c>
      <c r="Q2" s="1241"/>
      <c r="T2" s="87">
        <v>0</v>
      </c>
      <c r="U2" s="98"/>
      <c r="X2" s="87">
        <v>0</v>
      </c>
      <c r="Y2" s="98"/>
      <c r="AB2" s="87">
        <v>0</v>
      </c>
      <c r="AC2" s="98"/>
    </row>
    <row r="3" spans="1:29" x14ac:dyDescent="0.25">
      <c r="D3" s="425">
        <f>+SUM(D1:D2)</f>
        <v>0</v>
      </c>
      <c r="E3" s="1242"/>
      <c r="F3" s="100"/>
      <c r="G3" s="1527"/>
      <c r="H3" s="425">
        <f>+SUM(H1:H2)</f>
        <v>0</v>
      </c>
      <c r="I3" s="1253"/>
      <c r="L3" s="123">
        <f>SUM(L1:L2)</f>
        <v>0</v>
      </c>
      <c r="M3" s="1254"/>
      <c r="P3" s="123">
        <f>SUM(P1:P2)</f>
        <v>0</v>
      </c>
      <c r="Q3" s="1254"/>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12360.74</v>
      </c>
      <c r="E7" s="1315"/>
      <c r="H7" s="2">
        <f>D94</f>
        <v>0</v>
      </c>
      <c r="I7" s="1315"/>
      <c r="J7" s="60"/>
      <c r="L7" s="2">
        <f>H94</f>
        <v>-360</v>
      </c>
      <c r="M7" s="1315"/>
      <c r="P7" s="2">
        <f>L94</f>
        <v>2986</v>
      </c>
      <c r="Q7" s="1315"/>
      <c r="T7" s="2">
        <f>P94</f>
        <v>6167</v>
      </c>
      <c r="U7" s="105"/>
      <c r="X7" s="2">
        <f>T94</f>
        <v>-8321</v>
      </c>
      <c r="Y7" s="105"/>
      <c r="AB7" s="2">
        <f>X94</f>
        <v>-23130</v>
      </c>
      <c r="AC7" s="105"/>
    </row>
    <row r="8" spans="1:29" x14ac:dyDescent="0.25">
      <c r="E8" s="1315"/>
      <c r="H8" s="2"/>
      <c r="I8" s="1315"/>
      <c r="L8" s="2"/>
      <c r="M8" s="1315"/>
      <c r="Q8" s="1315"/>
      <c r="U8" s="105"/>
      <c r="Y8" s="105"/>
      <c r="AC8" s="105"/>
    </row>
    <row r="9" spans="1:29" x14ac:dyDescent="0.25">
      <c r="B9" s="1317" t="s">
        <v>52</v>
      </c>
      <c r="C9" s="1243" t="s">
        <v>414</v>
      </c>
      <c r="D9" s="2">
        <v>21915.26</v>
      </c>
      <c r="E9" s="1315" t="s">
        <v>488</v>
      </c>
      <c r="G9" s="1527">
        <f>IF(D9=0,"0.00%",(H9-D9)/D9)</f>
        <v>-0.21201026134300932</v>
      </c>
      <c r="H9" s="3">
        <v>17269</v>
      </c>
      <c r="I9" s="1315"/>
      <c r="J9" s="61"/>
      <c r="K9" s="1527">
        <f>IF(H9=0,"0.00%",(L9-H9)/H9)</f>
        <v>0</v>
      </c>
      <c r="L9" s="3">
        <f>+H9</f>
        <v>17269</v>
      </c>
      <c r="M9" s="1315" t="s">
        <v>174</v>
      </c>
      <c r="O9" s="1527">
        <f>IF(L9=0,"0.00%",(P9-L9)/L9)</f>
        <v>0</v>
      </c>
      <c r="P9" s="3">
        <f>+L9</f>
        <v>17269</v>
      </c>
      <c r="Q9" s="1315" t="s">
        <v>174</v>
      </c>
      <c r="S9" s="83">
        <f>IF(P9=0,"0.00%",(T9-P9)/P9)</f>
        <v>-1</v>
      </c>
      <c r="T9" s="3">
        <f>T3</f>
        <v>0</v>
      </c>
      <c r="U9" s="105"/>
      <c r="W9" s="83" t="str">
        <f>IF(T9=0,"0.00%",(X9-T9)/T9)</f>
        <v>0.00%</v>
      </c>
      <c r="X9" s="3">
        <f>X3</f>
        <v>0</v>
      </c>
      <c r="Y9" s="105"/>
      <c r="AA9" s="83" t="str">
        <f>IF(X9=0,"0.00%",(AB9-X9)/X9)</f>
        <v>0.00%</v>
      </c>
      <c r="AB9" s="3">
        <f>AB3</f>
        <v>0</v>
      </c>
      <c r="AC9" s="105"/>
    </row>
    <row r="10" spans="1:29" x14ac:dyDescent="0.25">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21915.26</v>
      </c>
      <c r="E11" s="1315"/>
      <c r="G11" s="1527">
        <f t="shared" si="0"/>
        <v>-0.21201026134300932</v>
      </c>
      <c r="H11" s="8">
        <f>SUM(H9:H10)</f>
        <v>17269</v>
      </c>
      <c r="I11" s="1882">
        <f>+H11-D11</f>
        <v>-4646.2599999999984</v>
      </c>
      <c r="J11" s="62"/>
      <c r="K11" s="1527">
        <f>IF(H11=0,"0.00%",(L11-H11)/H11)</f>
        <v>0</v>
      </c>
      <c r="L11" s="8">
        <f>SUM(L9:L10)</f>
        <v>17269</v>
      </c>
      <c r="M11" s="1882">
        <f>+L11-H11</f>
        <v>0</v>
      </c>
      <c r="O11" s="1527">
        <f>IF(L11=0,"0.00%",(P11-L11)/L11)</f>
        <v>0</v>
      </c>
      <c r="P11" s="8">
        <f>SUM(P9:P10)</f>
        <v>17269</v>
      </c>
      <c r="Q11" s="1882">
        <f>+P11-L11</f>
        <v>0</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ROUND(D11-(D11/(1+B13)),0)</f>
        <v>0</v>
      </c>
      <c r="E13" s="1315"/>
      <c r="G13" s="1527" t="str">
        <f t="shared" si="0"/>
        <v>0.00%</v>
      </c>
      <c r="H13" s="9">
        <f>ROUND(H11-(H11/(1+B13)),0)</f>
        <v>0</v>
      </c>
      <c r="I13" s="1315"/>
      <c r="J13" s="64"/>
      <c r="K13" s="1527" t="str">
        <f>IF(H13=0,"0.00%",(L13-H13)/H13)</f>
        <v>0.00%</v>
      </c>
      <c r="L13" s="9">
        <f>ROUND(L11-(L11/(1+B13)),0)</f>
        <v>0</v>
      </c>
      <c r="M13" s="1315"/>
      <c r="O13" s="1527" t="str">
        <f>IF(L13=0,"0.00%",(P13-L13)/L13)</f>
        <v>0.00%</v>
      </c>
      <c r="P13" s="9">
        <f>ROUND(P11-(P11/(1+B13)),0)</f>
        <v>0</v>
      </c>
      <c r="Q13" s="131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D11-D13+D7</f>
        <v>34276</v>
      </c>
      <c r="E15" s="1315"/>
      <c r="G15" s="1527">
        <f t="shared" si="0"/>
        <v>-0.49617808379040729</v>
      </c>
      <c r="H15" s="10">
        <f>H11-H13+H7</f>
        <v>17269</v>
      </c>
      <c r="I15" s="1882">
        <f>+H15-D15</f>
        <v>-17007</v>
      </c>
      <c r="J15" s="62"/>
      <c r="K15" s="1527">
        <f>IF(H15=0,"0.00%",(L15-H15)/H15)</f>
        <v>-2.0846603740807226E-2</v>
      </c>
      <c r="L15" s="10">
        <f>L11-L13+L7</f>
        <v>16909</v>
      </c>
      <c r="M15" s="1882">
        <f>+L15-H15</f>
        <v>-360</v>
      </c>
      <c r="O15" s="1527">
        <f>IF(L15=0,"0.00%",(P15-L15)/L15)</f>
        <v>0.1978827843160447</v>
      </c>
      <c r="P15" s="10">
        <f>P11-P13+P7</f>
        <v>20255</v>
      </c>
      <c r="Q15" s="1882">
        <f>+P15-L15</f>
        <v>3346</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256"/>
      <c r="P19" s="14" t="s">
        <v>48</v>
      </c>
      <c r="Q19" s="1256"/>
      <c r="T19" s="14" t="s">
        <v>48</v>
      </c>
      <c r="U19" s="104">
        <v>0.02</v>
      </c>
      <c r="X19" s="14" t="s">
        <v>48</v>
      </c>
      <c r="Y19" s="104">
        <v>0.02</v>
      </c>
      <c r="AB19" s="14" t="s">
        <v>48</v>
      </c>
      <c r="AC19" s="104">
        <v>0.02</v>
      </c>
    </row>
    <row r="20" spans="1:29" s="13" customFormat="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x14ac:dyDescent="0.25">
      <c r="A21" s="152"/>
      <c r="B21" s="1326">
        <v>1181</v>
      </c>
      <c r="C21" s="1243" t="s">
        <v>457</v>
      </c>
      <c r="D21" s="2">
        <v>4229</v>
      </c>
      <c r="E21" s="1249"/>
      <c r="F21" s="2"/>
      <c r="G21" s="1527">
        <f t="shared" ref="G21:G32" si="1">IF(D21=0,"0.00%",(H21-D21)/D21)</f>
        <v>0.98628517379995273</v>
      </c>
      <c r="H21" s="2">
        <v>8400</v>
      </c>
      <c r="I21" s="1240"/>
      <c r="J21" s="66"/>
      <c r="K21" s="1527">
        <f t="shared" ref="K21:K27" si="2">IF(H21=0,"0.00%",(L21-H21)/H21)</f>
        <v>0</v>
      </c>
      <c r="L21" s="2">
        <f>+H21</f>
        <v>8400</v>
      </c>
      <c r="M21" s="1257" t="s">
        <v>174</v>
      </c>
      <c r="O21" s="1527">
        <f t="shared" ref="O21:O27" si="3">IF(L21=0,"0.00%",(P21-L21)/L21)</f>
        <v>0</v>
      </c>
      <c r="P21" s="2">
        <f>+L21</f>
        <v>8400</v>
      </c>
      <c r="Q21" s="1257" t="s">
        <v>174</v>
      </c>
      <c r="S21" s="83">
        <f t="shared" ref="S21:S27" si="4">IF(P21=0,"0.00%",(T21-P21)/P21)</f>
        <v>0.02</v>
      </c>
      <c r="T21" s="2">
        <f>ROUND(P21*(1+U19),0)</f>
        <v>8568</v>
      </c>
      <c r="U21" s="36" t="str">
        <f>TEXT(U19,"0.0%")&amp;" = Est. S &amp; C"</f>
        <v>2.0% = Est. S &amp; C</v>
      </c>
      <c r="W21" s="83">
        <f t="shared" ref="W21:W27" si="5">IF(T21=0,"0.00%",(X21-T21)/T21)</f>
        <v>1.9957983193277309E-2</v>
      </c>
      <c r="X21" s="2">
        <f>ROUND(T21*(1+Y19),0)</f>
        <v>8739</v>
      </c>
      <c r="Y21" s="36" t="str">
        <f>TEXT(Y19,"0.0%")&amp;" = Est. S &amp; C"</f>
        <v>2.0% = Est. S &amp; C</v>
      </c>
      <c r="AA21" s="83">
        <f t="shared" ref="AA21:AA27" si="6">IF(X21=0,"0.00%",(AB21-X21)/X21)</f>
        <v>2.0025174505092117E-2</v>
      </c>
      <c r="AB21" s="2">
        <f>ROUND(X21*(1+AC19),0)</f>
        <v>8914</v>
      </c>
      <c r="AC21" s="36" t="str">
        <f>TEXT(AC19,"0.0%")&amp;" = Est. S &amp; C"</f>
        <v>2.0% = Est. S &amp; C</v>
      </c>
    </row>
    <row r="22" spans="1:29" hidden="1" x14ac:dyDescent="0.25">
      <c r="A22" s="153"/>
      <c r="B22" s="1326"/>
      <c r="E22" s="1249"/>
      <c r="F22" s="2"/>
      <c r="G22" s="1527" t="str">
        <f t="shared" si="1"/>
        <v>0.00%</v>
      </c>
      <c r="H22" s="2">
        <f t="shared" ref="H22:H30" si="7">ROUND(D22*(1+$I$19),0)</f>
        <v>0</v>
      </c>
      <c r="I22" s="1257" t="str">
        <f t="shared" ref="I22:I30" si="8">TEXT($I$19,"0.0%")&amp;" = Est. S &amp; C"</f>
        <v>0.0% = Est. S &amp; C</v>
      </c>
      <c r="J22" s="66"/>
      <c r="K22" s="1527" t="str">
        <f t="shared" si="2"/>
        <v>0.00%</v>
      </c>
      <c r="L22" s="2">
        <f>ROUND(H22*(1+M19),0)</f>
        <v>0</v>
      </c>
      <c r="M22" s="1257" t="str">
        <f>TEXT(M19,"0.0%")&amp;" = Est. S &amp; C"</f>
        <v>0.0% = Est. S &amp; C</v>
      </c>
      <c r="O22" s="1527" t="str">
        <f t="shared" si="3"/>
        <v>0.00%</v>
      </c>
      <c r="P22" s="2">
        <f>ROUND(L22*(1+Q19),0)</f>
        <v>0</v>
      </c>
      <c r="Q22" s="1257" t="str">
        <f>TEXT(Q19,"0.0%")&amp;" = Est. S &amp; C"</f>
        <v>0.0% = Est. S &amp; C</v>
      </c>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3"/>
      <c r="B23" s="1326"/>
      <c r="E23" s="1249"/>
      <c r="F23" s="2"/>
      <c r="G23" s="1527" t="str">
        <f t="shared" si="1"/>
        <v>0.00%</v>
      </c>
      <c r="H23" s="2">
        <f t="shared" si="7"/>
        <v>0</v>
      </c>
      <c r="I23" s="1257" t="str">
        <f t="shared" si="8"/>
        <v>0.0% = Est. S &amp; C</v>
      </c>
      <c r="J23" s="66"/>
      <c r="K23" s="1527" t="str">
        <f t="shared" si="2"/>
        <v>0.00%</v>
      </c>
      <c r="L23" s="2">
        <f>ROUND(H23*(1+M19),0)</f>
        <v>0</v>
      </c>
      <c r="M23" s="1257" t="str">
        <f>TEXT(M19,"0.0%")&amp;" = Est. S &amp; C"</f>
        <v>0.0% = Est. S &amp; C</v>
      </c>
      <c r="O23" s="1527" t="str">
        <f t="shared" si="3"/>
        <v>0.00%</v>
      </c>
      <c r="P23" s="2">
        <f>ROUND(L23*(1+Q19),0)</f>
        <v>0</v>
      </c>
      <c r="Q23" s="1257" t="str">
        <f>TEXT(Q19,"0.0%")&amp;" = Est. S &amp; C"</f>
        <v>0.0%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3"/>
      <c r="B24" s="1326"/>
      <c r="E24" s="1249"/>
      <c r="F24" s="2"/>
      <c r="G24" s="1527" t="str">
        <f t="shared" si="1"/>
        <v>0.00%</v>
      </c>
      <c r="H24" s="2">
        <f t="shared" si="7"/>
        <v>0</v>
      </c>
      <c r="I24" s="1257" t="str">
        <f t="shared" si="8"/>
        <v>0.0% = Est. S &amp; C</v>
      </c>
      <c r="J24" s="66"/>
      <c r="K24" s="1527" t="str">
        <f t="shared" si="2"/>
        <v>0.00%</v>
      </c>
      <c r="L24" s="2">
        <f>ROUND(H24*(1+M19),0)</f>
        <v>0</v>
      </c>
      <c r="M24" s="1257" t="str">
        <f>TEXT(M19,"0.0%")&amp;" = Est. S &amp; C"</f>
        <v>0.0% = Est. S &amp; C</v>
      </c>
      <c r="O24" s="1527" t="str">
        <f t="shared" si="3"/>
        <v>0.00%</v>
      </c>
      <c r="P24" s="2">
        <f>ROUND(L24*(1+Q19),0)</f>
        <v>0</v>
      </c>
      <c r="Q24" s="1257" t="str">
        <f>TEXT(Q19,"0.0%")&amp;" = Est. S &amp; C"</f>
        <v>0.0%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3"/>
      <c r="B25" s="1326"/>
      <c r="E25" s="1249"/>
      <c r="F25" s="2"/>
      <c r="G25" s="1527" t="str">
        <f t="shared" si="1"/>
        <v>0.00%</v>
      </c>
      <c r="H25" s="2">
        <f t="shared" si="7"/>
        <v>0</v>
      </c>
      <c r="I25" s="1257" t="str">
        <f t="shared" si="8"/>
        <v>0.0% = Est. S &amp; C</v>
      </c>
      <c r="J25" s="66"/>
      <c r="K25" s="1527" t="str">
        <f t="shared" si="2"/>
        <v>0.00%</v>
      </c>
      <c r="L25" s="2">
        <f>ROUND(H25*(1+M19),0)</f>
        <v>0</v>
      </c>
      <c r="M25" s="1257" t="str">
        <f>TEXT(M19,"0.0%")&amp;" = Est. S &amp; C"</f>
        <v>0.0% = Est. S &amp; C</v>
      </c>
      <c r="O25" s="1527" t="str">
        <f t="shared" si="3"/>
        <v>0.00%</v>
      </c>
      <c r="P25" s="2">
        <f>ROUND(L25*(1+Q19),0)</f>
        <v>0</v>
      </c>
      <c r="Q25" s="1257" t="str">
        <f>TEXT(Q19,"0.0%")&amp;" = Est. S &amp; C"</f>
        <v>0.0%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3"/>
      <c r="B26" s="1326"/>
      <c r="E26" s="1249"/>
      <c r="F26" s="2"/>
      <c r="G26" s="1527" t="str">
        <f t="shared" si="1"/>
        <v>0.00%</v>
      </c>
      <c r="H26" s="2">
        <f t="shared" si="7"/>
        <v>0</v>
      </c>
      <c r="I26" s="1257" t="str">
        <f t="shared" si="8"/>
        <v>0.0% = Est. S &amp; C</v>
      </c>
      <c r="J26" s="66"/>
      <c r="K26" s="1527" t="str">
        <f t="shared" si="2"/>
        <v>0.00%</v>
      </c>
      <c r="L26" s="2">
        <f>ROUND(H26*(1+M19),0)</f>
        <v>0</v>
      </c>
      <c r="M26" s="1257" t="str">
        <f>TEXT(M19,"0.0%")&amp;" = Est. S &amp; C"</f>
        <v>0.0% = Est. S &amp; C</v>
      </c>
      <c r="O26" s="1527" t="str">
        <f t="shared" si="3"/>
        <v>0.00%</v>
      </c>
      <c r="P26" s="2">
        <f>ROUND(L26*(1+Q19),0)</f>
        <v>0</v>
      </c>
      <c r="Q26" s="1257" t="str">
        <f>TEXT(Q19,"0.0%")&amp;" = Est. S &amp; C"</f>
        <v>0.0%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3"/>
      <c r="B27" s="1326"/>
      <c r="E27" s="1249"/>
      <c r="F27" s="2"/>
      <c r="G27" s="1527" t="str">
        <f t="shared" si="1"/>
        <v>0.00%</v>
      </c>
      <c r="H27" s="2">
        <f t="shared" si="7"/>
        <v>0</v>
      </c>
      <c r="I27" s="1257" t="str">
        <f t="shared" si="8"/>
        <v>0.0% = Est. S &amp; C</v>
      </c>
      <c r="J27" s="66"/>
      <c r="K27" s="1527" t="str">
        <f t="shared" si="2"/>
        <v>0.00%</v>
      </c>
      <c r="L27" s="2">
        <f>ROUND(H27*(1+$M$19),0)</f>
        <v>0</v>
      </c>
      <c r="M27" s="1257" t="str">
        <f>TEXT(M19,"0.0%")&amp;" = Est. S &amp; C"</f>
        <v>0.0% = Est. S &amp; C</v>
      </c>
      <c r="O27" s="1527" t="str">
        <f t="shared" si="3"/>
        <v>0.00%</v>
      </c>
      <c r="P27" s="2">
        <f>ROUND(L27*(1+$Q$19),0)</f>
        <v>0</v>
      </c>
      <c r="Q27" s="1257" t="str">
        <f>TEXT($Q$19,"0.0%")&amp;" = Est. S &amp; C"</f>
        <v>0.0%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3"/>
      <c r="B28" s="1326"/>
      <c r="E28" s="1249"/>
      <c r="F28" s="2"/>
      <c r="G28" s="1527" t="str">
        <f>IF(D28=0,"0.00%",(H28-D28)/D28)</f>
        <v>0.00%</v>
      </c>
      <c r="H28" s="2">
        <f t="shared" si="7"/>
        <v>0</v>
      </c>
      <c r="I28" s="1257" t="str">
        <f t="shared" si="8"/>
        <v>0.0% = Est. S &amp; C</v>
      </c>
      <c r="J28" s="66"/>
      <c r="K28" s="1527" t="str">
        <f>IF(H28=0,"0.00%",(L28-H28)/H28)</f>
        <v>0.00%</v>
      </c>
      <c r="L28" s="2">
        <f t="shared" ref="L28:L30" si="9">ROUND(H28*(1+$M$19),0)</f>
        <v>0</v>
      </c>
      <c r="M28" s="1257" t="str">
        <f>TEXT($M$19,"0.0%")&amp;" = Est. S &amp; C"</f>
        <v>0.0% = Est. S &amp; C</v>
      </c>
      <c r="O28" s="1527" t="str">
        <f>IF(L28=0,"0.00%",(P28-L28)/L28)</f>
        <v>0.00%</v>
      </c>
      <c r="P28" s="2">
        <f t="shared" ref="P28:P30" si="10">ROUND(L28*(1+$Q$19),0)</f>
        <v>0</v>
      </c>
      <c r="Q28" s="1257" t="str">
        <f t="shared" ref="Q28:Q30" si="11">TEXT($Q$19,"0.0%")&amp;"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idden="1" x14ac:dyDescent="0.25">
      <c r="A29" s="153"/>
      <c r="B29" s="1326"/>
      <c r="E29" s="1249"/>
      <c r="F29" s="2"/>
      <c r="G29" s="1527" t="str">
        <f>IF(D29=0,"0.00%",(H29-D29)/D29)</f>
        <v>0.00%</v>
      </c>
      <c r="H29" s="2">
        <f t="shared" si="7"/>
        <v>0</v>
      </c>
      <c r="I29" s="1257" t="str">
        <f t="shared" si="8"/>
        <v>0.0% = Est. S &amp; C</v>
      </c>
      <c r="J29" s="66"/>
      <c r="K29" s="1527" t="str">
        <f t="shared" ref="K29:K31" si="12">IF(H29=0,"0.00%",(L29-H29)/H29)</f>
        <v>0.00%</v>
      </c>
      <c r="L29" s="2">
        <f t="shared" si="9"/>
        <v>0</v>
      </c>
      <c r="M29" s="1257" t="str">
        <f t="shared" ref="M29:M30" si="13">TEXT($M$19,"0.0%")&amp;" = Est. S &amp; C"</f>
        <v>0.0% = Est. S &amp; C</v>
      </c>
      <c r="O29" s="1527" t="str">
        <f t="shared" ref="O29:O32" si="14">IF(L29=0,"0.00%",(P29-L29)/L29)</f>
        <v>0.00%</v>
      </c>
      <c r="P29" s="2">
        <f t="shared" si="10"/>
        <v>0</v>
      </c>
      <c r="Q29" s="1257" t="str">
        <f t="shared" si="11"/>
        <v>0.0% = Est. S &amp; C</v>
      </c>
      <c r="T29" s="2"/>
      <c r="U29" s="73"/>
      <c r="X29" s="2"/>
      <c r="Y29" s="73"/>
      <c r="AB29" s="2"/>
      <c r="AC29" s="73"/>
    </row>
    <row r="30" spans="1:29" hidden="1" x14ac:dyDescent="0.25">
      <c r="A30" s="153"/>
      <c r="B30" s="1326"/>
      <c r="E30" s="1249"/>
      <c r="F30" s="2"/>
      <c r="G30" s="1527" t="str">
        <f>IF(D30=0,"0.00%",(H30-D30)/D30)</f>
        <v>0.00%</v>
      </c>
      <c r="H30" s="2">
        <f t="shared" si="7"/>
        <v>0</v>
      </c>
      <c r="I30" s="1257" t="str">
        <f t="shared" si="8"/>
        <v>0.0% = Est. S &amp; C</v>
      </c>
      <c r="J30" s="66"/>
      <c r="K30" s="1527" t="str">
        <f t="shared" si="12"/>
        <v>0.00%</v>
      </c>
      <c r="L30" s="2">
        <f t="shared" si="9"/>
        <v>0</v>
      </c>
      <c r="M30" s="1257" t="str">
        <f t="shared" si="13"/>
        <v>0.0% = Est. S &amp; C</v>
      </c>
      <c r="O30" s="1527" t="str">
        <f t="shared" si="14"/>
        <v>0.00%</v>
      </c>
      <c r="P30" s="2">
        <f t="shared" si="10"/>
        <v>0</v>
      </c>
      <c r="Q30" s="1257" t="str">
        <f t="shared" si="11"/>
        <v>0.0% = Est. S &amp; C</v>
      </c>
      <c r="T30" s="2"/>
      <c r="U30" s="73"/>
      <c r="X30" s="2"/>
      <c r="Y30" s="73"/>
      <c r="AB30" s="2"/>
      <c r="AC30" s="73"/>
    </row>
    <row r="31" spans="1:29" hidden="1" x14ac:dyDescent="0.25">
      <c r="A31" s="153"/>
      <c r="B31" s="1326"/>
      <c r="E31" s="1249"/>
      <c r="F31" s="2"/>
      <c r="G31" s="1527" t="str">
        <f>IF(D31=0,"0.00%",(H31-D31)/D31)</f>
        <v>0.00%</v>
      </c>
      <c r="H31" s="2">
        <v>0</v>
      </c>
      <c r="I31" s="1240"/>
      <c r="J31" s="66"/>
      <c r="K31" s="1527" t="str">
        <f t="shared" si="12"/>
        <v>0.00%</v>
      </c>
      <c r="L31" s="2">
        <v>0</v>
      </c>
      <c r="M31" s="1240"/>
      <c r="O31" s="1527" t="str">
        <f t="shared" si="14"/>
        <v>0.00%</v>
      </c>
      <c r="P31" s="2">
        <v>0</v>
      </c>
      <c r="Q31" s="1240"/>
      <c r="T31" s="2"/>
      <c r="U31" s="73"/>
      <c r="X31" s="2"/>
      <c r="Y31" s="73"/>
      <c r="AB31" s="2"/>
      <c r="AC31" s="73"/>
    </row>
    <row r="32" spans="1:29" x14ac:dyDescent="0.25">
      <c r="A32" s="154"/>
      <c r="B32" s="1326"/>
      <c r="D32" s="8">
        <f>SUM(D21:D31)</f>
        <v>4229</v>
      </c>
      <c r="E32" s="1249"/>
      <c r="F32" s="2"/>
      <c r="G32" s="1527">
        <f t="shared" si="1"/>
        <v>0.98628517379995273</v>
      </c>
      <c r="H32" s="8">
        <f>SUM(H21:H31)</f>
        <v>8400</v>
      </c>
      <c r="I32" s="1882">
        <f>+H32-D32</f>
        <v>4171</v>
      </c>
      <c r="J32" s="29"/>
      <c r="K32" s="1527">
        <f>IF(H32=0,"0.00%",(L32-H32)/H32)</f>
        <v>0</v>
      </c>
      <c r="L32" s="8">
        <f>SUM(L21:L31)</f>
        <v>8400</v>
      </c>
      <c r="M32" s="1882">
        <f>+L32-H32</f>
        <v>0</v>
      </c>
      <c r="O32" s="1527">
        <f t="shared" si="14"/>
        <v>0</v>
      </c>
      <c r="P32" s="8">
        <f>SUM(P21:P31)</f>
        <v>8400</v>
      </c>
      <c r="Q32" s="1882">
        <f>+P32-L32</f>
        <v>0</v>
      </c>
      <c r="S32" s="83">
        <f>IF(P32=0,"0.00%",(T32-P32)/P32)</f>
        <v>0.02</v>
      </c>
      <c r="T32" s="8">
        <f>SUM(T21:T29)</f>
        <v>8568</v>
      </c>
      <c r="U32" s="73"/>
      <c r="W32" s="83">
        <f>IF(T32=0,"0.00%",(X32-T32)/T32)</f>
        <v>1.9957983193277309E-2</v>
      </c>
      <c r="X32" s="8">
        <f>SUM(X21:X29)</f>
        <v>8739</v>
      </c>
      <c r="Y32" s="73"/>
      <c r="AA32" s="83">
        <f>IF(X32=0,"0.00%",(AB32-X32)/X32)</f>
        <v>2.0025174505092117E-2</v>
      </c>
      <c r="AB32" s="8">
        <f>SUM(AB21:AB29)</f>
        <v>8914</v>
      </c>
      <c r="AC32" s="73"/>
    </row>
    <row r="33" spans="1:29" x14ac:dyDescent="0.25">
      <c r="A33" s="153"/>
      <c r="E33" s="1249"/>
      <c r="F33" s="2"/>
      <c r="H33" s="2"/>
      <c r="I33" s="1257"/>
      <c r="J33" s="66"/>
      <c r="L33" s="2"/>
      <c r="M33" s="1335"/>
      <c r="Q33" s="1335"/>
      <c r="T33" s="2"/>
      <c r="U33" s="73"/>
      <c r="X33" s="2"/>
      <c r="Y33" s="73"/>
      <c r="AB33" s="2"/>
      <c r="AC33" s="73"/>
    </row>
    <row r="34" spans="1:29" s="4" customFormat="1" x14ac:dyDescent="0.25">
      <c r="A34" s="151"/>
      <c r="B34" s="1327" t="s">
        <v>35</v>
      </c>
      <c r="C34" s="1259"/>
      <c r="D34" s="6"/>
      <c r="E34" s="1250"/>
      <c r="F34" s="6"/>
      <c r="G34" s="1539"/>
      <c r="H34" s="6"/>
      <c r="I34" s="1250"/>
      <c r="J34" s="57"/>
      <c r="K34" s="1571"/>
      <c r="L34" s="6"/>
      <c r="M34" s="1337"/>
      <c r="O34" s="1571"/>
      <c r="P34" s="6"/>
      <c r="Q34" s="1337"/>
      <c r="R34" s="111"/>
      <c r="T34" s="6"/>
      <c r="U34" s="71"/>
      <c r="X34" s="6"/>
      <c r="Y34" s="71"/>
      <c r="AB34" s="6"/>
      <c r="AC34" s="71"/>
    </row>
    <row r="35" spans="1:29" x14ac:dyDescent="0.25">
      <c r="A35" s="153"/>
      <c r="B35" s="1326">
        <v>2910</v>
      </c>
      <c r="C35" s="1243" t="s">
        <v>117</v>
      </c>
      <c r="D35" s="2">
        <v>174</v>
      </c>
      <c r="E35" s="1249"/>
      <c r="F35" s="2"/>
      <c r="G35" s="1527">
        <f t="shared" ref="G35:G41" si="15">IF(D35=0,"0.00%",(H35-D35)/D35)</f>
        <v>0.98275862068965514</v>
      </c>
      <c r="H35" s="2">
        <v>345</v>
      </c>
      <c r="I35" s="1257"/>
      <c r="J35" s="66"/>
      <c r="K35" s="1527">
        <f t="shared" ref="K35:K41" si="16">IF(H35=0,"0.00%",(L35-H35)/H35)</f>
        <v>0</v>
      </c>
      <c r="L35" s="2">
        <f>+H35</f>
        <v>345</v>
      </c>
      <c r="M35" s="1257" t="s">
        <v>174</v>
      </c>
      <c r="O35" s="1527">
        <f t="shared" ref="O35:O41" si="17">IF(L35=0,"0.00%",(P35-L35)/L35)</f>
        <v>0</v>
      </c>
      <c r="P35" s="2">
        <f>+L35</f>
        <v>345</v>
      </c>
      <c r="Q35" s="1257" t="s">
        <v>174</v>
      </c>
      <c r="S35" s="83">
        <f t="shared" ref="S35:S41" si="18">IF(P35=0,"0.00%",(T35-P35)/P35)</f>
        <v>2.0289855072463767E-2</v>
      </c>
      <c r="T35" s="2">
        <f>ROUND(P35*(1+U19),0)</f>
        <v>352</v>
      </c>
      <c r="U35" s="36" t="str">
        <f>TEXT(U19,"0.0%")&amp;" = Est. S &amp; C"</f>
        <v>2.0% = Est. S &amp; C</v>
      </c>
      <c r="W35" s="83">
        <f t="shared" ref="W35:W41" si="19">IF(T35=0,"0.00%",(X35-T35)/T35)</f>
        <v>1.9886363636363636E-2</v>
      </c>
      <c r="X35" s="2">
        <f>ROUND(T35*(1+Y19),0)</f>
        <v>359</v>
      </c>
      <c r="Y35" s="36" t="str">
        <f>TEXT(Y19,"0.0%")&amp;" = Est. S &amp; C"</f>
        <v>2.0% = Est. S &amp; C</v>
      </c>
      <c r="AA35" s="83">
        <f t="shared" ref="AA35:AA41" si="20">IF(X35=0,"0.00%",(AB35-X35)/X35)</f>
        <v>1.9498607242339833E-2</v>
      </c>
      <c r="AB35" s="2">
        <f>ROUND(X35*(1+AC19),0)</f>
        <v>366</v>
      </c>
      <c r="AC35" s="36" t="str">
        <f>TEXT(AC19,"0.0%")&amp;" = Est. S &amp; C"</f>
        <v>2.0% = Est. S &amp; C</v>
      </c>
    </row>
    <row r="36" spans="1:29" hidden="1" x14ac:dyDescent="0.25">
      <c r="A36" s="153"/>
      <c r="B36" s="1326"/>
      <c r="E36" s="1249"/>
      <c r="F36" s="2"/>
      <c r="G36" s="1527" t="str">
        <f t="shared" si="15"/>
        <v>0.00%</v>
      </c>
      <c r="H36" s="2">
        <f t="shared" ref="H36:H41" si="21">ROUND(D36*(1+$I$19),0)</f>
        <v>0</v>
      </c>
      <c r="I36" s="1257" t="str">
        <f t="shared" ref="I36:I41" si="22">TEXT($I$19,"0.0%")&amp;" = Est. S &amp; C"</f>
        <v>0.0% = Est. S &amp; C</v>
      </c>
      <c r="J36" s="66"/>
      <c r="K36" s="1527" t="str">
        <f t="shared" si="16"/>
        <v>0.00%</v>
      </c>
      <c r="L36" s="2">
        <f>ROUND(H36*(1+M19),0)</f>
        <v>0</v>
      </c>
      <c r="M36" s="1257" t="str">
        <f>TEXT(M19,"0.0%")&amp;" = Est. S &amp; C"</f>
        <v>0.0% = Est. S &amp; C</v>
      </c>
      <c r="O36" s="1527" t="str">
        <f t="shared" si="17"/>
        <v>0.00%</v>
      </c>
      <c r="P36" s="2">
        <f>ROUND(L36*(1+Q19),0)</f>
        <v>0</v>
      </c>
      <c r="Q36" s="1257" t="str">
        <f>TEXT(Q19,"0.0%")&amp;" = Est. S &amp; C"</f>
        <v>0.0% = Est. S &amp; C</v>
      </c>
      <c r="S36" s="83" t="str">
        <f t="shared" si="18"/>
        <v>0.00%</v>
      </c>
      <c r="T36" s="2">
        <f>ROUND(P36*(1+U19),0)</f>
        <v>0</v>
      </c>
      <c r="U36" s="36" t="str">
        <f>TEXT(U19,"0.0%")&amp;" = Est. S &amp; C"</f>
        <v>2.0% = Est. S &amp; C</v>
      </c>
      <c r="W36" s="83" t="str">
        <f t="shared" si="19"/>
        <v>0.00%</v>
      </c>
      <c r="X36" s="2">
        <f>ROUND(T36*(1+Y19),0)</f>
        <v>0</v>
      </c>
      <c r="Y36" s="36" t="str">
        <f>TEXT(Y19,"0.0%")&amp;" = Est. S &amp; C"</f>
        <v>2.0% = Est. S &amp; C</v>
      </c>
      <c r="AA36" s="83" t="str">
        <f t="shared" si="20"/>
        <v>0.00%</v>
      </c>
      <c r="AB36" s="2">
        <f>ROUND(X36*(1+AC19),0)</f>
        <v>0</v>
      </c>
      <c r="AC36" s="36" t="str">
        <f>TEXT(AC19,"0.0%")&amp;" = Est. S &amp; C"</f>
        <v>2.0% = Est. S &amp; C</v>
      </c>
    </row>
    <row r="37" spans="1:29" hidden="1" x14ac:dyDescent="0.25">
      <c r="A37" s="153"/>
      <c r="B37" s="1326"/>
      <c r="E37" s="1249"/>
      <c r="F37" s="2"/>
      <c r="G37" s="1527" t="str">
        <f t="shared" si="15"/>
        <v>0.00%</v>
      </c>
      <c r="H37" s="2">
        <f t="shared" si="21"/>
        <v>0</v>
      </c>
      <c r="I37" s="1257" t="str">
        <f t="shared" si="22"/>
        <v>0.0% = Est. S &amp; C</v>
      </c>
      <c r="J37" s="66"/>
      <c r="K37" s="1527" t="str">
        <f t="shared" si="16"/>
        <v>0.00%</v>
      </c>
      <c r="L37" s="2">
        <f>ROUND(H37*(1+M19),0)</f>
        <v>0</v>
      </c>
      <c r="M37" s="1257" t="str">
        <f>TEXT(M19,"0.0%")&amp;" = Est. S &amp; C"</f>
        <v>0.0% = Est. S &amp; C</v>
      </c>
      <c r="O37" s="1527" t="str">
        <f t="shared" si="17"/>
        <v>0.00%</v>
      </c>
      <c r="P37" s="2">
        <f>ROUND(L37*(1+Q19),0)</f>
        <v>0</v>
      </c>
      <c r="Q37" s="1257" t="str">
        <f>TEXT(Q19,"0.0%")&amp;" = Est. S &amp; C"</f>
        <v>0.0% = Est. S &amp; C</v>
      </c>
      <c r="S37" s="83" t="str">
        <f t="shared" si="18"/>
        <v>0.00%</v>
      </c>
      <c r="T37" s="2">
        <f>ROUND(P37*(1+U19),0)</f>
        <v>0</v>
      </c>
      <c r="U37" s="36" t="str">
        <f>TEXT(U19,"0.0%")&amp;" = Est. S &amp; C"</f>
        <v>2.0% = Est. S &amp; C</v>
      </c>
      <c r="W37" s="83" t="str">
        <f t="shared" si="19"/>
        <v>0.00%</v>
      </c>
      <c r="X37" s="2">
        <f>ROUND(T37*(1+Y19),0)</f>
        <v>0</v>
      </c>
      <c r="Y37" s="36" t="str">
        <f>TEXT(Y19,"0.0%")&amp;" = Est. S &amp; C"</f>
        <v>2.0% = Est. S &amp; C</v>
      </c>
      <c r="AA37" s="83" t="str">
        <f t="shared" si="20"/>
        <v>0.00%</v>
      </c>
      <c r="AB37" s="2">
        <f>ROUND(X37*(1+AC19),0)</f>
        <v>0</v>
      </c>
      <c r="AC37" s="36" t="str">
        <f>TEXT(AC19,"0.0%")&amp;" = Est. S &amp; C"</f>
        <v>2.0% = Est. S &amp; C</v>
      </c>
    </row>
    <row r="38" spans="1:29" hidden="1" x14ac:dyDescent="0.25">
      <c r="A38" s="153"/>
      <c r="B38" s="1326"/>
      <c r="E38" s="1249"/>
      <c r="F38" s="2"/>
      <c r="G38" s="1527" t="str">
        <f t="shared" si="15"/>
        <v>0.00%</v>
      </c>
      <c r="H38" s="2">
        <f t="shared" si="21"/>
        <v>0</v>
      </c>
      <c r="I38" s="1257" t="str">
        <f t="shared" si="22"/>
        <v>0.0% = Est. S &amp; C</v>
      </c>
      <c r="J38" s="66"/>
      <c r="K38" s="1527" t="str">
        <f t="shared" si="16"/>
        <v>0.00%</v>
      </c>
      <c r="L38" s="2">
        <f>ROUND(H38*(1+M19),0)</f>
        <v>0</v>
      </c>
      <c r="M38" s="1257" t="str">
        <f>TEXT(M19,"0.0%")&amp;" = Est. S &amp; C"</f>
        <v>0.0% = Est. S &amp; C</v>
      </c>
      <c r="O38" s="1527" t="str">
        <f t="shared" si="17"/>
        <v>0.00%</v>
      </c>
      <c r="P38" s="2">
        <f>ROUND(L38*(1+Q19),0)</f>
        <v>0</v>
      </c>
      <c r="Q38" s="1257" t="str">
        <f>TEXT(Q19,"0.0%")&amp;" = Est. S &amp; C"</f>
        <v>0.0% = Est. S &amp; C</v>
      </c>
      <c r="S38" s="83" t="str">
        <f t="shared" si="18"/>
        <v>0.00%</v>
      </c>
      <c r="T38" s="2">
        <f>ROUND(P38*(1+U19),0)</f>
        <v>0</v>
      </c>
      <c r="U38" s="36" t="str">
        <f>TEXT(U19,"0.0%")&amp;" = Est. S &amp; C"</f>
        <v>2.0% = Est. S &amp; C</v>
      </c>
      <c r="W38" s="83" t="str">
        <f t="shared" si="19"/>
        <v>0.00%</v>
      </c>
      <c r="X38" s="2">
        <f>ROUND(T38*(1+Y19),0)</f>
        <v>0</v>
      </c>
      <c r="Y38" s="36" t="str">
        <f>TEXT(Y19,"0.0%")&amp;" = Est. S &amp; C"</f>
        <v>2.0% = Est. S &amp; C</v>
      </c>
      <c r="AA38" s="83" t="str">
        <f t="shared" si="20"/>
        <v>0.00%</v>
      </c>
      <c r="AB38" s="2">
        <f>ROUND(X38*(1+AC19),0)</f>
        <v>0</v>
      </c>
      <c r="AC38" s="36" t="str">
        <f>TEXT(AC19,"0.0%")&amp;" = Est. S &amp; C"</f>
        <v>2.0% = Est. S &amp; C</v>
      </c>
    </row>
    <row r="39" spans="1:29" hidden="1" x14ac:dyDescent="0.25">
      <c r="A39" s="153"/>
      <c r="B39" s="1326"/>
      <c r="D39" s="2">
        <v>0</v>
      </c>
      <c r="E39" s="1249"/>
      <c r="F39" s="2"/>
      <c r="G39" s="1527" t="str">
        <f t="shared" si="15"/>
        <v>0.00%</v>
      </c>
      <c r="H39" s="2">
        <f t="shared" si="21"/>
        <v>0</v>
      </c>
      <c r="I39" s="1257" t="str">
        <f t="shared" si="22"/>
        <v>0.0% = Est. S &amp; C</v>
      </c>
      <c r="J39" s="66"/>
      <c r="K39" s="1527" t="str">
        <f t="shared" si="16"/>
        <v>0.00%</v>
      </c>
      <c r="L39" s="2">
        <f>ROUND(H39*(1+M19),0)</f>
        <v>0</v>
      </c>
      <c r="M39" s="1257" t="str">
        <f>TEXT(M19,"0.0%")&amp;" = Est. S &amp; C"</f>
        <v>0.0% = Est. S &amp; C</v>
      </c>
      <c r="O39" s="1527" t="str">
        <f t="shared" si="17"/>
        <v>0.00%</v>
      </c>
      <c r="P39" s="2">
        <f>ROUND(L39*(1+Q19),0)</f>
        <v>0</v>
      </c>
      <c r="Q39" s="1257" t="str">
        <f>TEXT(Q19,"0.0%")&amp;" = Est. S &amp; C"</f>
        <v>0.0% = Est. S &amp; C</v>
      </c>
      <c r="S39" s="83" t="str">
        <f t="shared" si="18"/>
        <v>0.00%</v>
      </c>
      <c r="T39" s="2">
        <f>ROUND(P39*(1+U19),0)</f>
        <v>0</v>
      </c>
      <c r="U39" s="36" t="str">
        <f>TEXT(U19,"0.0%")&amp;" = Est. S &amp; C"</f>
        <v>2.0% = Est. S &amp; C</v>
      </c>
      <c r="W39" s="83" t="str">
        <f t="shared" si="19"/>
        <v>0.00%</v>
      </c>
      <c r="X39" s="2">
        <f>ROUND(T39*(1+Y19),0)</f>
        <v>0</v>
      </c>
      <c r="Y39" s="36" t="str">
        <f>TEXT(Y19,"0.0%")&amp;" = Est. S &amp; C"</f>
        <v>2.0% = Est. S &amp; C</v>
      </c>
      <c r="AA39" s="83" t="str">
        <f t="shared" si="20"/>
        <v>0.00%</v>
      </c>
      <c r="AB39" s="2">
        <f>ROUND(X39*(1+AC19),0)</f>
        <v>0</v>
      </c>
      <c r="AC39" s="36" t="str">
        <f>TEXT(AC19,"0.0%")&amp;" = Est. S &amp; C"</f>
        <v>2.0% = Est. S &amp; C</v>
      </c>
    </row>
    <row r="40" spans="1:29" hidden="1" x14ac:dyDescent="0.25">
      <c r="A40" s="153"/>
      <c r="B40" s="1326"/>
      <c r="D40" s="2">
        <v>0</v>
      </c>
      <c r="E40" s="1249"/>
      <c r="F40" s="2"/>
      <c r="G40" s="1527" t="str">
        <f t="shared" si="15"/>
        <v>0.00%</v>
      </c>
      <c r="H40" s="2">
        <f t="shared" si="21"/>
        <v>0</v>
      </c>
      <c r="I40" s="1257" t="str">
        <f t="shared" si="22"/>
        <v>0.0% = Est. S &amp; C</v>
      </c>
      <c r="J40" s="66"/>
      <c r="K40" s="1527" t="str">
        <f t="shared" si="16"/>
        <v>0.00%</v>
      </c>
      <c r="L40" s="2">
        <f>ROUND(H40*(1+M19),0)</f>
        <v>0</v>
      </c>
      <c r="M40" s="1257" t="str">
        <f>TEXT(M19,"0.0%")&amp;" = Est. S &amp; C"</f>
        <v>0.0% = Est. S &amp; C</v>
      </c>
      <c r="O40" s="1527" t="str">
        <f t="shared" si="17"/>
        <v>0.00%</v>
      </c>
      <c r="P40" s="2">
        <f>ROUND(L40*(1+Q19),0)</f>
        <v>0</v>
      </c>
      <c r="Q40" s="1257" t="str">
        <f>TEXT(Q19,"0.0%")&amp;" = Est. S &amp; C"</f>
        <v>0.0% = Est. S &amp; C</v>
      </c>
      <c r="S40" s="83" t="str">
        <f t="shared" si="18"/>
        <v>0.00%</v>
      </c>
      <c r="T40" s="2">
        <f>ROUND(P40*(1+U19),0)</f>
        <v>0</v>
      </c>
      <c r="U40" s="36" t="str">
        <f>TEXT(U19,"0.0%")&amp;" = Est. S &amp; C"</f>
        <v>2.0% = Est. S &amp; C</v>
      </c>
      <c r="W40" s="83" t="str">
        <f t="shared" si="19"/>
        <v>0.00%</v>
      </c>
      <c r="X40" s="2">
        <f>ROUND(T40*(1+Y19),0)</f>
        <v>0</v>
      </c>
      <c r="Y40" s="36" t="str">
        <f>TEXT(Y19,"0.0%")&amp;" = Est. S &amp; C"</f>
        <v>2.0% = Est. S &amp; C</v>
      </c>
      <c r="AA40" s="83" t="str">
        <f t="shared" si="20"/>
        <v>0.00%</v>
      </c>
      <c r="AB40" s="2">
        <f>ROUND(X40*(1+AC19),0)</f>
        <v>0</v>
      </c>
      <c r="AC40" s="36" t="str">
        <f>TEXT(AC19,"0.0%")&amp;" = Est. S &amp; C"</f>
        <v>2.0% = Est. S &amp; C</v>
      </c>
    </row>
    <row r="41" spans="1:29" hidden="1" x14ac:dyDescent="0.25">
      <c r="A41" s="153"/>
      <c r="B41" s="1326"/>
      <c r="D41" s="2">
        <v>0</v>
      </c>
      <c r="E41" s="1249"/>
      <c r="F41" s="2"/>
      <c r="G41" s="1527" t="str">
        <f t="shared" si="15"/>
        <v>0.00%</v>
      </c>
      <c r="H41" s="2">
        <f t="shared" si="21"/>
        <v>0</v>
      </c>
      <c r="I41" s="1257" t="str">
        <f t="shared" si="22"/>
        <v>0.0% = Est. S &amp; C</v>
      </c>
      <c r="J41" s="66"/>
      <c r="K41" s="1527" t="str">
        <f t="shared" si="16"/>
        <v>0.00%</v>
      </c>
      <c r="L41" s="2">
        <f>ROUND(H41*(1+M19),0)</f>
        <v>0</v>
      </c>
      <c r="M41" s="1257" t="str">
        <f>TEXT(M19,"0.0%")&amp;" = Est. S &amp; C"</f>
        <v>0.0% = Est. S &amp; C</v>
      </c>
      <c r="O41" s="1527" t="str">
        <f t="shared" si="17"/>
        <v>0.00%</v>
      </c>
      <c r="P41" s="2">
        <f>ROUND(L41*(1+Q19),0)</f>
        <v>0</v>
      </c>
      <c r="Q41" s="1257" t="str">
        <f>TEXT(Q19,"0.0%")&amp;" = Est. S &amp; C"</f>
        <v>0.0% = Est. S &amp; C</v>
      </c>
      <c r="S41" s="83" t="str">
        <f t="shared" si="18"/>
        <v>0.00%</v>
      </c>
      <c r="T41" s="2">
        <f>ROUND(P41*(1+U19),0)</f>
        <v>0</v>
      </c>
      <c r="U41" s="36" t="str">
        <f>TEXT(U19,"0.0%")&amp;" = Est. S &amp; C"</f>
        <v>2.0% = Est. S &amp; C</v>
      </c>
      <c r="W41" s="83" t="str">
        <f t="shared" si="19"/>
        <v>0.00%</v>
      </c>
      <c r="X41" s="2">
        <f>ROUND(T41*(1+Y19),0)</f>
        <v>0</v>
      </c>
      <c r="Y41" s="36" t="str">
        <f>TEXT(Y19,"0.0%")&amp;" = Est. S &amp; C"</f>
        <v>2.0% = Est. S &amp; C</v>
      </c>
      <c r="AA41" s="83" t="str">
        <f t="shared" si="20"/>
        <v>0.00%</v>
      </c>
      <c r="AB41" s="2">
        <f>ROUND(X41*(1+AC19),0)</f>
        <v>0</v>
      </c>
      <c r="AC41" s="36" t="str">
        <f>TEXT(AC19,"0.0%")&amp;" = Est. S &amp; C"</f>
        <v>2.0% = Est. S &amp; C</v>
      </c>
    </row>
    <row r="42" spans="1:29" ht="6" hidden="1" customHeight="1" x14ac:dyDescent="0.25">
      <c r="A42" s="153"/>
      <c r="B42" s="1326"/>
      <c r="E42" s="1249"/>
      <c r="F42" s="2"/>
      <c r="H42" s="2"/>
      <c r="I42" s="1257"/>
      <c r="J42" s="66"/>
      <c r="L42" s="2"/>
      <c r="M42" s="1335"/>
      <c r="Q42" s="1335"/>
      <c r="T42" s="2"/>
      <c r="U42" s="73"/>
      <c r="X42" s="2"/>
      <c r="Y42" s="73"/>
      <c r="AB42" s="2"/>
      <c r="AC42" s="73"/>
    </row>
    <row r="43" spans="1:29" x14ac:dyDescent="0.25">
      <c r="A43" s="154"/>
      <c r="B43" s="1326"/>
      <c r="D43" s="8">
        <f>SUM(D35:D42)</f>
        <v>174</v>
      </c>
      <c r="E43" s="1249"/>
      <c r="F43" s="2"/>
      <c r="G43" s="1527">
        <f>IF(D43=0,"0.00%",(H43-D43)/D43)</f>
        <v>0.98275862068965514</v>
      </c>
      <c r="H43" s="8">
        <f>SUM(H35:H42)</f>
        <v>345</v>
      </c>
      <c r="I43" s="1258"/>
      <c r="J43" s="29"/>
      <c r="K43" s="1527">
        <f>IF(H43=0,"0.00%",(L43-H43)/H43)</f>
        <v>0</v>
      </c>
      <c r="L43" s="8">
        <f>SUM(L35:L42)</f>
        <v>345</v>
      </c>
      <c r="M43" s="1335"/>
      <c r="O43" s="1527">
        <f>IF(L43=0,"0.00%",(P43-L43)/L43)</f>
        <v>0</v>
      </c>
      <c r="P43" s="8">
        <f>SUM(P35:P42)</f>
        <v>345</v>
      </c>
      <c r="Q43" s="1335"/>
      <c r="S43" s="83">
        <f>IF(P43=0,"0.00%",(T43-P43)/P43)</f>
        <v>2.0289855072463767E-2</v>
      </c>
      <c r="T43" s="8">
        <f>SUM(T35:T42)</f>
        <v>352</v>
      </c>
      <c r="U43" s="73"/>
      <c r="W43" s="83">
        <f>IF(T43=0,"0.00%",(X43-T43)/T43)</f>
        <v>1.9886363636363636E-2</v>
      </c>
      <c r="X43" s="8">
        <f>SUM(X35:X42)</f>
        <v>359</v>
      </c>
      <c r="Y43" s="73"/>
      <c r="AA43" s="83">
        <f>IF(X43=0,"0.00%",(AB43-X43)/X43)</f>
        <v>1.9498607242339833E-2</v>
      </c>
      <c r="AB43" s="8">
        <f>SUM(AB35:AB42)</f>
        <v>366</v>
      </c>
      <c r="AC43" s="73"/>
    </row>
    <row r="44" spans="1:29" x14ac:dyDescent="0.25">
      <c r="A44" s="153"/>
      <c r="B44" s="1317" t="s">
        <v>28</v>
      </c>
      <c r="E44" s="1249"/>
      <c r="F44" s="2"/>
      <c r="H44" s="2"/>
      <c r="I44" s="1257"/>
      <c r="J44" s="66"/>
      <c r="L44" s="2"/>
      <c r="M44" s="1335"/>
      <c r="Q44" s="1335"/>
      <c r="T44" s="2"/>
      <c r="U44" s="73"/>
      <c r="X44" s="2"/>
      <c r="Y44" s="73"/>
      <c r="AB44" s="2"/>
      <c r="AC44" s="73"/>
    </row>
    <row r="45" spans="1:29" x14ac:dyDescent="0.25">
      <c r="A45" s="155"/>
      <c r="B45" s="1323" t="s">
        <v>27</v>
      </c>
      <c r="E45" s="1249"/>
      <c r="F45" s="2"/>
      <c r="H45" s="2"/>
      <c r="I45" s="1257"/>
      <c r="J45" s="66"/>
      <c r="L45" s="2"/>
      <c r="M45" s="1335"/>
      <c r="Q45" s="1335"/>
      <c r="T45" s="2"/>
      <c r="U45" s="73"/>
      <c r="X45" s="2"/>
      <c r="Y45" s="73"/>
      <c r="AB45" s="2"/>
      <c r="AC45" s="73"/>
    </row>
    <row r="46" spans="1:29" x14ac:dyDescent="0.25">
      <c r="A46" s="153"/>
      <c r="B46" s="1326" t="s">
        <v>83</v>
      </c>
      <c r="C46" s="1243" t="s">
        <v>76</v>
      </c>
      <c r="D46" s="2">
        <v>1069</v>
      </c>
      <c r="E46" s="1240" t="str">
        <f>TEXT('MYP Assumptions'!$D$52,"0.00%")&amp;", STRS rate"</f>
        <v>12.58%, STRS rate</v>
      </c>
      <c r="F46" s="2"/>
      <c r="G46" s="1527">
        <f t="shared" ref="G46:G55" si="23">IF(D46=0,"0.00%",(H46-D46)/D46)</f>
        <v>0.13376987839101964</v>
      </c>
      <c r="H46" s="2">
        <v>1212</v>
      </c>
      <c r="I46" s="1240" t="str">
        <f>TEXT('MYP Assumptions'!E52,"0.00%")&amp;", projected STRS rate"</f>
        <v>14.43%, projected STRS rate</v>
      </c>
      <c r="J46" s="66"/>
      <c r="K46" s="1527">
        <f t="shared" ref="K46:K55" si="24">IF(H46=0,"0.00%",(L46-H46)/H46)</f>
        <v>0.12871287128712872</v>
      </c>
      <c r="L46" s="2">
        <f>ROUND(L32*LEFT(M46,6),0)</f>
        <v>1368</v>
      </c>
      <c r="M46" s="1240" t="str">
        <f>TEXT('MYP Assumptions'!F52,"0.00%")&amp;", projected STRS rate"</f>
        <v>16.28%, projected STRS rate</v>
      </c>
      <c r="O46" s="1527">
        <f t="shared" ref="O46:O55" si="25">IF(L46=0,"0.00%",(P46-L46)/L46)</f>
        <v>0.11330409356725146</v>
      </c>
      <c r="P46" s="2">
        <f>ROUND(P32*LEFT(Q46,6),0)</f>
        <v>1523</v>
      </c>
      <c r="Q46" s="1240" t="str">
        <f>TEXT('MYP Assumptions'!G52,"0.00%")&amp;", projected STRS rate"</f>
        <v>18.13%, projected STRS rate</v>
      </c>
      <c r="S46" s="83">
        <f t="shared" ref="S46:S55" si="26">IF(P46=0,"0.00%",(T46-P46)/P46)</f>
        <v>7.4195666447800387E-2</v>
      </c>
      <c r="T46" s="2">
        <f>ROUND(T32*LEFT(U46,6),0)</f>
        <v>1636</v>
      </c>
      <c r="U46" s="81" t="str">
        <f>TEXT('MYP Assumptions'!H52,"0.00%")&amp;", projected STRS rate"</f>
        <v>19.10%, projected STRS rate</v>
      </c>
      <c r="W46" s="83">
        <f t="shared" ref="W46:W55" si="27">IF(T46=0,"0.00%",(X46-T46)/T46)</f>
        <v>2.0171149144254278E-2</v>
      </c>
      <c r="X46" s="2">
        <f>ROUND(X32*LEFT(Y46,6),0)</f>
        <v>1669</v>
      </c>
      <c r="Y46" s="81" t="str">
        <f>TEXT('MYP Assumptions'!I52,"0.00%")&amp;", projected STRS rate"</f>
        <v>19.10%, projected STRS rate</v>
      </c>
      <c r="AA46" s="83">
        <f t="shared" ref="AA46:AA55" si="28">IF(X46=0,"0.00%",(AB46-X46)/X46)</f>
        <v>2.037147992810066E-2</v>
      </c>
      <c r="AB46" s="2">
        <f>ROUND(AB32*LEFT(AC46,6),0)</f>
        <v>1703</v>
      </c>
      <c r="AC46" s="81" t="str">
        <f>TEXT('MYP Assumptions'!J52,"0.00%")&amp;", projected STRS rate"</f>
        <v>19.10%, projected STRS rate</v>
      </c>
    </row>
    <row r="47" spans="1:29" x14ac:dyDescent="0.25">
      <c r="A47" s="153"/>
      <c r="B47" s="1326" t="s">
        <v>84</v>
      </c>
      <c r="C47" s="1243" t="s">
        <v>77</v>
      </c>
      <c r="D47" s="2">
        <v>19</v>
      </c>
      <c r="E47" s="1240" t="str">
        <f>TEXT('MYP Assumptions'!$D$53,"0.00%")&amp;", PERS rate"</f>
        <v>13.89%, PERS rate</v>
      </c>
      <c r="F47" s="2"/>
      <c r="G47" s="1527">
        <f t="shared" si="23"/>
        <v>1.8421052631578947</v>
      </c>
      <c r="H47" s="2">
        <v>54</v>
      </c>
      <c r="I47" s="1240" t="str">
        <f>TEXT('MYP Assumptions'!E53,"0.00%")&amp;", projected PERS rate"</f>
        <v>15.53%, projected PERS rate</v>
      </c>
      <c r="J47" s="66"/>
      <c r="K47" s="1527">
        <f t="shared" si="24"/>
        <v>0.14814814814814814</v>
      </c>
      <c r="L47" s="2">
        <f>ROUND(L43*LEFT(M47,6),0)</f>
        <v>62</v>
      </c>
      <c r="M47" s="1240" t="str">
        <f>TEXT('MYP Assumptions'!F53,"0.00%")&amp;", projected PERS rate"</f>
        <v>18.10%, projected PERS rate</v>
      </c>
      <c r="O47" s="1527">
        <f t="shared" si="25"/>
        <v>0.16129032258064516</v>
      </c>
      <c r="P47" s="2">
        <f>ROUND(P43*LEFT(Q47,6),0)</f>
        <v>72</v>
      </c>
      <c r="Q47" s="1240" t="str">
        <f>TEXT('MYP Assumptions'!G53,"0.00%")&amp;", projected PERS rate"</f>
        <v>20.80%, projected PERS rate</v>
      </c>
      <c r="S47" s="83">
        <f t="shared" si="26"/>
        <v>0.16666666666666666</v>
      </c>
      <c r="T47" s="2">
        <f>ROUND(T43*LEFT(U47,6),0)</f>
        <v>84</v>
      </c>
      <c r="U47" s="81" t="str">
        <f>TEXT('MYP Assumptions'!H53,"0.00%")&amp;", projected PERS rate"</f>
        <v>23.80%, projected PERS rate</v>
      </c>
      <c r="W47" s="83">
        <f t="shared" si="27"/>
        <v>7.1428571428571425E-2</v>
      </c>
      <c r="X47" s="2">
        <f>ROUND(X43*LEFT(Y47,6),0)</f>
        <v>90</v>
      </c>
      <c r="Y47" s="81" t="str">
        <f>TEXT('MYP Assumptions'!I53,"0.00%")&amp;", projected PERS rate"</f>
        <v>25.20%, projected PERS rate</v>
      </c>
      <c r="AA47" s="83">
        <f t="shared" si="28"/>
        <v>6.6666666666666666E-2</v>
      </c>
      <c r="AB47" s="2">
        <f>ROUND(AB43*LEFT(AC47,6),0)</f>
        <v>96</v>
      </c>
      <c r="AC47" s="81" t="str">
        <f>TEXT('MYP Assumptions'!J53,"0.00%")&amp;", projected PERS rate"</f>
        <v>26.10%, projected PERS rate</v>
      </c>
    </row>
    <row r="48" spans="1:29" x14ac:dyDescent="0.25">
      <c r="A48" s="153"/>
      <c r="B48" s="1326" t="s">
        <v>85</v>
      </c>
      <c r="C48" s="1243" t="s">
        <v>78</v>
      </c>
      <c r="D48" s="2">
        <f>18+11</f>
        <v>29</v>
      </c>
      <c r="E48" s="1240" t="str">
        <f>TEXT('MYP Assumptions'!$D$54,"0.00%")&amp;", SS rate"</f>
        <v>6.20%, SS rate</v>
      </c>
      <c r="F48" s="2"/>
      <c r="G48" s="1527">
        <f t="shared" si="23"/>
        <v>-0.27586206896551724</v>
      </c>
      <c r="H48" s="2">
        <v>21</v>
      </c>
      <c r="I48" s="1240" t="str">
        <f>TEXT('MYP Assumptions'!E54,"0.00%")&amp;", no rate change"</f>
        <v>6.20%, no rate change</v>
      </c>
      <c r="J48" s="66"/>
      <c r="K48" s="1527">
        <f t="shared" si="24"/>
        <v>0</v>
      </c>
      <c r="L48" s="2">
        <f>ROUND(L43*LEFT(M48,5),0)</f>
        <v>21</v>
      </c>
      <c r="M48" s="1240" t="str">
        <f>TEXT('MYP Assumptions'!F54,"0.00%")&amp;", no rate change"</f>
        <v>6.20%, no rate change</v>
      </c>
      <c r="O48" s="1527">
        <f t="shared" si="25"/>
        <v>0</v>
      </c>
      <c r="P48" s="2">
        <f>ROUND(P43*LEFT(Q48,5),0)</f>
        <v>21</v>
      </c>
      <c r="Q48" s="1240" t="str">
        <f>TEXT('MYP Assumptions'!G54,"0.00%")&amp;", no rate change"</f>
        <v>6.20%, no rate change</v>
      </c>
      <c r="S48" s="83">
        <f t="shared" si="26"/>
        <v>4.7619047619047616E-2</v>
      </c>
      <c r="T48" s="2">
        <f>ROUND(T43*LEFT(U48,5),0)</f>
        <v>22</v>
      </c>
      <c r="U48" s="81" t="str">
        <f>TEXT('MYP Assumptions'!H54,"0.00%")&amp;", no rate change"</f>
        <v>6.20%, no rate change</v>
      </c>
      <c r="W48" s="83">
        <f t="shared" si="27"/>
        <v>0</v>
      </c>
      <c r="X48" s="2">
        <f>ROUND(X43*LEFT(Y48,5),0)</f>
        <v>22</v>
      </c>
      <c r="Y48" s="81" t="str">
        <f>TEXT('MYP Assumptions'!I54,"0.00%")&amp;", no rate change"</f>
        <v>6.20%, no rate change</v>
      </c>
      <c r="AA48" s="83">
        <f t="shared" si="28"/>
        <v>4.5454545454545456E-2</v>
      </c>
      <c r="AB48" s="2">
        <f>ROUND(AB43*LEFT(AC48,5),0)</f>
        <v>23</v>
      </c>
      <c r="AC48" s="81" t="str">
        <f>TEXT('MYP Assumptions'!J54,"0.00%")&amp;", no rate change"</f>
        <v>6.20%, no rate change</v>
      </c>
    </row>
    <row r="49" spans="1:29" x14ac:dyDescent="0.25">
      <c r="A49" s="153"/>
      <c r="B49" s="1326" t="s">
        <v>86</v>
      </c>
      <c r="C49" s="1243" t="s">
        <v>79</v>
      </c>
      <c r="D49" s="2">
        <f>123+3</f>
        <v>126</v>
      </c>
      <c r="E49" s="1240" t="str">
        <f>TEXT('MYP Assumptions'!$D$55,"0.00%")&amp;", Medicare rate"</f>
        <v>1.45%, Medicare rate</v>
      </c>
      <c r="F49" s="2"/>
      <c r="G49" s="1527">
        <f t="shared" si="23"/>
        <v>7.9365079365079361E-3</v>
      </c>
      <c r="H49" s="2">
        <f>122+5</f>
        <v>127</v>
      </c>
      <c r="I49" s="1240" t="str">
        <f>TEXT('MYP Assumptions'!E55,"0.00%")&amp;", no rate change"</f>
        <v>1.45%, no rate change</v>
      </c>
      <c r="J49" s="66"/>
      <c r="K49" s="1527">
        <f t="shared" si="24"/>
        <v>0</v>
      </c>
      <c r="L49" s="2">
        <f>ROUND((L43+L32)*LEFT(M49,5),0)</f>
        <v>127</v>
      </c>
      <c r="M49" s="1240" t="str">
        <f>TEXT('MYP Assumptions'!F55,"0.00%")&amp;", no rate change"</f>
        <v>1.45%, no rate change</v>
      </c>
      <c r="O49" s="1527">
        <f t="shared" si="25"/>
        <v>0</v>
      </c>
      <c r="P49" s="2">
        <f>ROUND((P43+P32)*LEFT(Q49,5),0)</f>
        <v>127</v>
      </c>
      <c r="Q49" s="1240" t="str">
        <f>TEXT('MYP Assumptions'!G55,"0.00%")&amp;", no rate change"</f>
        <v>1.45%, no rate change</v>
      </c>
      <c r="S49" s="83">
        <f t="shared" si="26"/>
        <v>1.5748031496062992E-2</v>
      </c>
      <c r="T49" s="2">
        <f>ROUND((T43+T32)*LEFT(U49,5),0)</f>
        <v>129</v>
      </c>
      <c r="U49" s="81" t="str">
        <f>TEXT('MYP Assumptions'!H55,"0.00%")&amp;", no rate change"</f>
        <v>1.45%, no rate change</v>
      </c>
      <c r="W49" s="83">
        <f t="shared" si="27"/>
        <v>2.3255813953488372E-2</v>
      </c>
      <c r="X49" s="2">
        <f>ROUND((X43+X32)*LEFT(Y49,5),0)</f>
        <v>132</v>
      </c>
      <c r="Y49" s="81" t="str">
        <f>TEXT('MYP Assumptions'!I55,"0.00%")&amp;", no rate change"</f>
        <v>1.45%, no rate change</v>
      </c>
      <c r="AA49" s="83">
        <f t="shared" si="28"/>
        <v>2.2727272727272728E-2</v>
      </c>
      <c r="AB49" s="2">
        <f>ROUND((AB43+AB32)*LEFT(AC49,5),0)</f>
        <v>135</v>
      </c>
      <c r="AC49" s="81" t="str">
        <f>TEXT('MYP Assumptions'!J55,"0.00%")&amp;", no rate change"</f>
        <v>1.45%, no rate change</v>
      </c>
    </row>
    <row r="50" spans="1:29" x14ac:dyDescent="0.25">
      <c r="A50" s="153"/>
      <c r="B50" s="1326" t="s">
        <v>87</v>
      </c>
      <c r="C50" s="1243" t="s">
        <v>80</v>
      </c>
      <c r="D50" s="2">
        <v>0</v>
      </c>
      <c r="E50" s="1240"/>
      <c r="F50" s="2"/>
      <c r="G50" s="1527" t="str">
        <f t="shared" si="23"/>
        <v>0.00%</v>
      </c>
      <c r="H50" s="2"/>
      <c r="I50" s="1240" t="str">
        <f>TEXT('MYP Assumptions'!$M$62,"0.00%")&amp;", projected increase"</f>
        <v>7.00%, projected increase</v>
      </c>
      <c r="J50" s="66"/>
      <c r="K50" s="1527" t="str">
        <f t="shared" si="24"/>
        <v>0.00%</v>
      </c>
      <c r="L50" s="2">
        <f>ROUND((H50)*(LEFT(M50,5)+1),0)</f>
        <v>0</v>
      </c>
      <c r="M50" s="1240" t="str">
        <f>TEXT('MYP Assumptions'!$M$62,"0.00%")&amp;", projected increase"</f>
        <v>7.00%, projected increase</v>
      </c>
      <c r="O50" s="1527" t="str">
        <f t="shared" si="25"/>
        <v>0.00%</v>
      </c>
      <c r="P50" s="2">
        <f>ROUND((L50)*(LEFT(Q50,5)+1),0)</f>
        <v>0</v>
      </c>
      <c r="Q50" s="1240" t="str">
        <f>TEXT('MYP Assumptions'!$M$62,"0.00%")&amp;", projected increase"</f>
        <v>7.00%, projected increase</v>
      </c>
      <c r="S50" s="83" t="str">
        <f t="shared" si="26"/>
        <v>0.00%</v>
      </c>
      <c r="T50" s="2">
        <f>ROUND((P50)*(LEFT(U50,5)+1),0)</f>
        <v>0</v>
      </c>
      <c r="U50" s="81" t="str">
        <f>TEXT('MYP Assumptions'!$M$62,"0.00%")&amp;", projected increase"</f>
        <v>7.00%, projected increase</v>
      </c>
      <c r="W50" s="83" t="str">
        <f t="shared" si="27"/>
        <v>0.00%</v>
      </c>
      <c r="X50" s="2">
        <f>ROUND((T50)*(LEFT(Y50,5)+1),0)</f>
        <v>0</v>
      </c>
      <c r="Y50" s="81" t="str">
        <f>TEXT('MYP Assumptions'!$M$62,"0.00%")&amp;", projected increase"</f>
        <v>7.00%, projected increase</v>
      </c>
      <c r="AA50" s="83" t="str">
        <f t="shared" si="28"/>
        <v>0.00%</v>
      </c>
      <c r="AB50" s="2">
        <f>ROUND((X50)*(LEFT(AC50,5)+1),0)</f>
        <v>0</v>
      </c>
      <c r="AC50" s="81" t="str">
        <f>TEXT('MYP Assumptions'!$M$62,"0.00%")&amp;", projected increase"</f>
        <v>7.00%, projected increase</v>
      </c>
    </row>
    <row r="51" spans="1:29" x14ac:dyDescent="0.25">
      <c r="A51" s="153"/>
      <c r="B51" s="1326" t="s">
        <v>88</v>
      </c>
      <c r="C51" s="1243" t="s">
        <v>81</v>
      </c>
      <c r="D51" s="2">
        <v>4</v>
      </c>
      <c r="E51" s="1240" t="str">
        <f>TEXT('MYP Assumptions'!$D$56,"0.00%")&amp;", SUI rate"</f>
        <v>0.05%, SUI rate</v>
      </c>
      <c r="F51" s="2"/>
      <c r="G51" s="1527">
        <f t="shared" si="23"/>
        <v>0</v>
      </c>
      <c r="H51" s="2">
        <v>4</v>
      </c>
      <c r="I51" s="1240" t="str">
        <f>TEXT('MYP Assumptions'!E56,"0.00%")&amp;", no rate change"</f>
        <v>0.05%, no rate change</v>
      </c>
      <c r="J51" s="66"/>
      <c r="K51" s="1527">
        <f t="shared" si="24"/>
        <v>0</v>
      </c>
      <c r="L51" s="2">
        <f>ROUND((L43+L32)*LEFT(M51,5),0)</f>
        <v>4</v>
      </c>
      <c r="M51" s="1240" t="str">
        <f>TEXT('MYP Assumptions'!F56,"0.00%")&amp;", no rate change"</f>
        <v>0.05%, no rate change</v>
      </c>
      <c r="O51" s="1527">
        <f t="shared" si="25"/>
        <v>0</v>
      </c>
      <c r="P51" s="2">
        <f>ROUND((P43+P32)*LEFT(Q51,5),0)</f>
        <v>4</v>
      </c>
      <c r="Q51" s="1240" t="str">
        <f>TEXT('MYP Assumptions'!G56,"0.00%")&amp;", no rate change"</f>
        <v>0.05%, no rate change</v>
      </c>
      <c r="S51" s="83">
        <f t="shared" si="26"/>
        <v>0</v>
      </c>
      <c r="T51" s="2">
        <f>ROUND((T43+T32)*LEFT(U51,5),0)</f>
        <v>4</v>
      </c>
      <c r="U51" s="81" t="str">
        <f>TEXT('MYP Assumptions'!H56,"0.00%")&amp;", no rate change"</f>
        <v>0.05%, no rate change</v>
      </c>
      <c r="W51" s="83">
        <f t="shared" si="27"/>
        <v>0.25</v>
      </c>
      <c r="X51" s="2">
        <f>ROUND((X43+X32)*LEFT(Y51,5),0)</f>
        <v>5</v>
      </c>
      <c r="Y51" s="81" t="str">
        <f>TEXT('MYP Assumptions'!I56,"0.00%")&amp;", no rate change"</f>
        <v>0.05%, no rate change</v>
      </c>
      <c r="AA51" s="83">
        <f t="shared" si="28"/>
        <v>0</v>
      </c>
      <c r="AB51" s="2">
        <f>ROUND((AB43+AB32)*LEFT(AC51,5),0)</f>
        <v>5</v>
      </c>
      <c r="AC51" s="81" t="str">
        <f>TEXT('MYP Assumptions'!J56,"0.00%")&amp;", no rate change"</f>
        <v>0.05%, no rate change</v>
      </c>
    </row>
    <row r="52" spans="1:29" x14ac:dyDescent="0.25">
      <c r="A52" s="153"/>
      <c r="B52" s="1326" t="s">
        <v>89</v>
      </c>
      <c r="C52" s="1243" t="s">
        <v>82</v>
      </c>
      <c r="D52" s="2">
        <v>94</v>
      </c>
      <c r="E52" s="1240" t="str">
        <f>TEXT('MYP Assumptions'!$D$57,"0.00%")&amp;", W/C rate"</f>
        <v>1.10%, W/C rate</v>
      </c>
      <c r="F52" s="2"/>
      <c r="G52" s="1527">
        <f t="shared" si="23"/>
        <v>2.1276595744680851E-2</v>
      </c>
      <c r="H52" s="2">
        <f>92+4</f>
        <v>96</v>
      </c>
      <c r="I52" s="1240" t="str">
        <f>TEXT('MYP Assumptions'!E57,"0.00%")&amp;", no rate change"</f>
        <v>1.10%, no rate change</v>
      </c>
      <c r="J52" s="66"/>
      <c r="K52" s="1527">
        <f t="shared" si="24"/>
        <v>0</v>
      </c>
      <c r="L52" s="2">
        <f>ROUND((L43+L32)*LEFT(M52,5),0)</f>
        <v>96</v>
      </c>
      <c r="M52" s="1240" t="str">
        <f>TEXT('MYP Assumptions'!F57,"0.00%")&amp;", no rate change"</f>
        <v>1.10%, no rate change</v>
      </c>
      <c r="O52" s="1527">
        <f t="shared" si="25"/>
        <v>0</v>
      </c>
      <c r="P52" s="2">
        <f>ROUND((P43+P32)*LEFT(Q52,5),0)</f>
        <v>96</v>
      </c>
      <c r="Q52" s="1240" t="str">
        <f>TEXT('MYP Assumptions'!G57,"0.00%")&amp;", no rate change"</f>
        <v>1.10%, no rate change</v>
      </c>
      <c r="S52" s="83">
        <f t="shared" si="26"/>
        <v>2.0833333333333332E-2</v>
      </c>
      <c r="T52" s="2">
        <f>ROUND((T43+T32)*LEFT(U52,5),0)</f>
        <v>98</v>
      </c>
      <c r="U52" s="81" t="str">
        <f>TEXT('MYP Assumptions'!H57,"0.00%")&amp;", no rate change"</f>
        <v>1.10%, no rate change</v>
      </c>
      <c r="W52" s="83">
        <f t="shared" si="27"/>
        <v>2.0408163265306121E-2</v>
      </c>
      <c r="X52" s="2">
        <f>ROUND((X43+X32)*LEFT(Y52,5),0)</f>
        <v>100</v>
      </c>
      <c r="Y52" s="81" t="str">
        <f>TEXT('MYP Assumptions'!I57,"0.00%")&amp;", no rate change"</f>
        <v>1.10%, no rate change</v>
      </c>
      <c r="AA52" s="83">
        <f t="shared" si="28"/>
        <v>0.02</v>
      </c>
      <c r="AB52" s="2">
        <f>ROUND((AB43+AB32)*LEFT(AC52,5),0)</f>
        <v>102</v>
      </c>
      <c r="AC52" s="81" t="str">
        <f>TEXT('MYP Assumptions'!J57,"0.00%")&amp;", no rate change"</f>
        <v>1.10%, no rate change</v>
      </c>
    </row>
    <row r="53" spans="1:29" x14ac:dyDescent="0.25">
      <c r="A53" s="153"/>
      <c r="B53" s="1326" t="s">
        <v>91</v>
      </c>
      <c r="C53" s="1243" t="s">
        <v>93</v>
      </c>
      <c r="D53" s="2">
        <v>0</v>
      </c>
      <c r="E53" s="1249"/>
      <c r="F53" s="2"/>
      <c r="G53" s="1527" t="str">
        <f t="shared" si="23"/>
        <v>0.00%</v>
      </c>
      <c r="H53" s="2">
        <f>D53</f>
        <v>0</v>
      </c>
      <c r="I53" s="1240" t="s">
        <v>166</v>
      </c>
      <c r="J53" s="66"/>
      <c r="K53" s="1527" t="str">
        <f t="shared" si="24"/>
        <v>0.00%</v>
      </c>
      <c r="L53" s="2">
        <f>H53</f>
        <v>0</v>
      </c>
      <c r="M53" s="1240" t="s">
        <v>166</v>
      </c>
      <c r="O53" s="1527" t="str">
        <f t="shared" si="25"/>
        <v>0.00%</v>
      </c>
      <c r="P53" s="2">
        <f>L53</f>
        <v>0</v>
      </c>
      <c r="Q53" s="1240" t="s">
        <v>166</v>
      </c>
      <c r="S53" s="83" t="str">
        <f t="shared" si="26"/>
        <v>0.00%</v>
      </c>
      <c r="T53" s="2">
        <f>P53</f>
        <v>0</v>
      </c>
      <c r="U53" s="81" t="s">
        <v>166</v>
      </c>
      <c r="W53" s="83" t="str">
        <f t="shared" si="27"/>
        <v>0.00%</v>
      </c>
      <c r="X53" s="2">
        <f>T53</f>
        <v>0</v>
      </c>
      <c r="Y53" s="81" t="s">
        <v>166</v>
      </c>
      <c r="AA53" s="83" t="str">
        <f t="shared" si="28"/>
        <v>0.00%</v>
      </c>
      <c r="AB53" s="2">
        <f>X53</f>
        <v>0</v>
      </c>
      <c r="AC53" s="81" t="s">
        <v>166</v>
      </c>
    </row>
    <row r="54" spans="1:29" x14ac:dyDescent="0.25">
      <c r="A54" s="153"/>
      <c r="B54" s="1326"/>
      <c r="E54" s="1249"/>
      <c r="F54" s="2"/>
      <c r="G54" s="1527"/>
      <c r="H54" s="2"/>
      <c r="I54" s="1240"/>
      <c r="J54" s="66"/>
      <c r="K54" s="1527"/>
      <c r="L54" s="2"/>
      <c r="M54" s="1240"/>
      <c r="O54" s="1527"/>
      <c r="Q54" s="1240"/>
      <c r="S54" s="83"/>
      <c r="T54" s="2"/>
      <c r="U54" s="81"/>
      <c r="W54" s="83"/>
      <c r="X54" s="2"/>
      <c r="Y54" s="81"/>
      <c r="AA54" s="83"/>
      <c r="AB54" s="2"/>
      <c r="AC54" s="81"/>
    </row>
    <row r="55" spans="1:29" x14ac:dyDescent="0.25">
      <c r="A55" s="154"/>
      <c r="B55" s="1326"/>
      <c r="D55" s="8">
        <f>SUM(D46:D54)</f>
        <v>1341</v>
      </c>
      <c r="E55" s="1249"/>
      <c r="F55" s="2"/>
      <c r="G55" s="1527">
        <f t="shared" si="23"/>
        <v>0.12900820283370618</v>
      </c>
      <c r="H55" s="8">
        <f>SUM(H46:H54)</f>
        <v>1514</v>
      </c>
      <c r="I55" s="1882">
        <f>+H55-D55</f>
        <v>173</v>
      </c>
      <c r="J55" s="29"/>
      <c r="K55" s="1527">
        <f t="shared" si="24"/>
        <v>0.1083223249669749</v>
      </c>
      <c r="L55" s="8">
        <f>SUM(L46:L54)</f>
        <v>1678</v>
      </c>
      <c r="M55" s="1882">
        <f>+L55-H55</f>
        <v>164</v>
      </c>
      <c r="O55" s="1527">
        <f t="shared" si="25"/>
        <v>9.8331346841477957E-2</v>
      </c>
      <c r="P55" s="8">
        <f>SUM(P46:P54)</f>
        <v>1843</v>
      </c>
      <c r="Q55" s="1882">
        <f>+P55-L55</f>
        <v>165</v>
      </c>
      <c r="S55" s="83">
        <f t="shared" si="26"/>
        <v>7.0537167661421596E-2</v>
      </c>
      <c r="T55" s="8">
        <f>SUM(T46:T54)</f>
        <v>1973</v>
      </c>
      <c r="U55" s="73"/>
      <c r="W55" s="83">
        <f t="shared" si="27"/>
        <v>2.280790674100355E-2</v>
      </c>
      <c r="X55" s="8">
        <f>SUM(X46:X54)</f>
        <v>2018</v>
      </c>
      <c r="Y55" s="73"/>
      <c r="AA55" s="83">
        <f t="shared" si="28"/>
        <v>2.2794846382556987E-2</v>
      </c>
      <c r="AB55" s="8">
        <f>SUM(AB46:AB54)</f>
        <v>2064</v>
      </c>
      <c r="AC55" s="73"/>
    </row>
    <row r="56" spans="1:29" x14ac:dyDescent="0.25">
      <c r="A56" s="155"/>
      <c r="B56" s="1326"/>
      <c r="E56" s="1249"/>
      <c r="F56" s="2"/>
      <c r="H56" s="2"/>
      <c r="I56" s="1257"/>
      <c r="J56" s="66"/>
      <c r="L56" s="2"/>
      <c r="M56" s="1335"/>
      <c r="Q56" s="1335"/>
      <c r="T56" s="2"/>
      <c r="U56" s="73"/>
      <c r="X56" s="2"/>
      <c r="Y56" s="73"/>
      <c r="AB56" s="2"/>
      <c r="AC56" s="73"/>
    </row>
    <row r="57" spans="1:29" x14ac:dyDescent="0.25">
      <c r="A57" s="154"/>
      <c r="B57" s="1323" t="s">
        <v>26</v>
      </c>
      <c r="D57" s="8">
        <f>SUM(D55,D43,D32)</f>
        <v>5744</v>
      </c>
      <c r="E57" s="1249"/>
      <c r="F57" s="2"/>
      <c r="G57" s="1527">
        <f>IF(D57=0,"0.00%",(H57-D57)/D57)</f>
        <v>0.78603760445682447</v>
      </c>
      <c r="H57" s="8">
        <f>SUM(H55,H43,H32)</f>
        <v>10259</v>
      </c>
      <c r="I57" s="1882">
        <f>+H57-D57</f>
        <v>4515</v>
      </c>
      <c r="J57" s="29"/>
      <c r="K57" s="1527">
        <f>IF(H57=0,"0.00%",(L57-H57)/H57)</f>
        <v>1.598596354420509E-2</v>
      </c>
      <c r="L57" s="8">
        <f>SUM(L55,L43,L32)</f>
        <v>10423</v>
      </c>
      <c r="M57" s="1882">
        <f>+L57-H57</f>
        <v>164</v>
      </c>
      <c r="O57" s="1527">
        <f>IF(L57=0,"0.00%",(P57-L57)/L57)</f>
        <v>1.5830375131919792E-2</v>
      </c>
      <c r="P57" s="8">
        <f>SUM(P55,P43,P32)</f>
        <v>10588</v>
      </c>
      <c r="Q57" s="1882">
        <f>+P57-L57</f>
        <v>165</v>
      </c>
      <c r="S57" s="83">
        <f>IF(P57=0,"0.00%",(T57-P57)/P57)</f>
        <v>2.8806195693237627E-2</v>
      </c>
      <c r="T57" s="8">
        <f>SUM(T55,T43,T32)</f>
        <v>10893</v>
      </c>
      <c r="U57" s="73"/>
      <c r="W57" s="83">
        <f>IF(T57=0,"0.00%",(X57-T57)/T57)</f>
        <v>2.0471862664096209E-2</v>
      </c>
      <c r="X57" s="8">
        <f>SUM(X55,X43,X32)</f>
        <v>11116</v>
      </c>
      <c r="Y57" s="73"/>
      <c r="AA57" s="83">
        <f>IF(X57=0,"0.00%",(AB57-X57)/X57)</f>
        <v>2.0510975170924792E-2</v>
      </c>
      <c r="AB57" s="8">
        <f>SUM(AB55,AB43,AB32)</f>
        <v>11344</v>
      </c>
      <c r="AC57" s="73"/>
    </row>
    <row r="58" spans="1:29" x14ac:dyDescent="0.25">
      <c r="A58" s="156"/>
      <c r="E58" s="1249"/>
      <c r="F58" s="2"/>
      <c r="H58" s="2"/>
      <c r="I58" s="1257"/>
      <c r="J58" s="66"/>
      <c r="L58" s="2"/>
      <c r="M58" s="1335"/>
      <c r="Q58" s="1335"/>
      <c r="T58" s="2"/>
      <c r="U58" s="73"/>
      <c r="X58" s="2"/>
      <c r="Y58" s="73"/>
      <c r="AB58" s="2"/>
      <c r="AC58" s="73"/>
    </row>
    <row r="59" spans="1:29" x14ac:dyDescent="0.25">
      <c r="A59" s="153"/>
      <c r="E59" s="1249"/>
      <c r="F59" s="2"/>
      <c r="H59" s="2"/>
      <c r="I59" s="1257"/>
      <c r="J59" s="66"/>
      <c r="L59" s="2"/>
      <c r="M59" s="1335"/>
      <c r="Q59" s="1335"/>
      <c r="T59" s="2"/>
      <c r="U59" s="73"/>
      <c r="X59" s="2"/>
      <c r="Y59" s="73"/>
      <c r="AB59" s="2"/>
      <c r="AC59" s="73"/>
    </row>
    <row r="60" spans="1:29" x14ac:dyDescent="0.25">
      <c r="A60" s="156"/>
      <c r="B60" s="1327" t="s">
        <v>25</v>
      </c>
      <c r="C60" s="1259"/>
      <c r="E60" s="1249"/>
      <c r="F60" s="2"/>
      <c r="H60" s="2"/>
      <c r="I60" s="1257"/>
      <c r="J60" s="66"/>
      <c r="L60" s="2"/>
      <c r="M60" s="1335"/>
      <c r="Q60" s="1335"/>
      <c r="T60" s="2"/>
      <c r="U60" s="73"/>
      <c r="X60" s="2"/>
      <c r="Y60" s="73"/>
      <c r="AB60" s="2"/>
      <c r="AC60" s="73"/>
    </row>
    <row r="61" spans="1:29" x14ac:dyDescent="0.25">
      <c r="A61" s="153"/>
      <c r="B61" s="1326">
        <v>4310</v>
      </c>
      <c r="C61" s="1243" t="s">
        <v>286</v>
      </c>
      <c r="D61" s="2">
        <v>26532</v>
      </c>
      <c r="E61" s="1249"/>
      <c r="F61" s="2"/>
      <c r="G61" s="1527">
        <f t="shared" ref="G61:G71" si="29">IF(D61=0,"0.00%",(H61-D61)/D61)</f>
        <v>-0.79760289461781997</v>
      </c>
      <c r="H61" s="2">
        <v>5370</v>
      </c>
      <c r="I61" s="1240"/>
      <c r="J61" s="66"/>
      <c r="K61" s="1527">
        <f t="shared" ref="K61:K71" si="30">IF(H61=0,"0.00%",(L61-H61)/H61)</f>
        <v>-0.53445065176908757</v>
      </c>
      <c r="L61" s="2">
        <v>2500</v>
      </c>
      <c r="M61" s="1240"/>
      <c r="O61" s="1527">
        <f t="shared" ref="O61:O71" si="31">IF(L61=0,"0.00%",(P61-L61)/L61)</f>
        <v>0</v>
      </c>
      <c r="P61" s="2">
        <f>+L61</f>
        <v>2500</v>
      </c>
      <c r="Q61" s="1240"/>
      <c r="S61" s="83">
        <f t="shared" ref="S61:S71" si="32">IF(P61=0,"0.00%",(T61-P61)/P61)</f>
        <v>2.7199999999999998E-2</v>
      </c>
      <c r="T61" s="2">
        <f>ROUND(P61*(LEFT(U61,5)+1),0)</f>
        <v>2568</v>
      </c>
      <c r="U61" s="81" t="str">
        <f>TEXT('MYP Assumptions'!H72,"0.00%")&amp;", CPI"</f>
        <v>2.73%, CPI</v>
      </c>
      <c r="W61" s="83">
        <f t="shared" ref="W61:W71" si="33">IF(T61=0,"0.00%",(X61-T61)/T61)</f>
        <v>2.7258566978193146E-2</v>
      </c>
      <c r="X61" s="2">
        <f>ROUND(T61*(LEFT(Y61,5)+1),0)</f>
        <v>2638</v>
      </c>
      <c r="Y61" s="81" t="str">
        <f>TEXT('MYP Assumptions'!I72,"0.00%")&amp;", CPI"</f>
        <v>2.73%, CPI</v>
      </c>
      <c r="AA61" s="83">
        <f t="shared" ref="AA61:AA71" si="34">IF(X61=0,"0.00%",(AB61-X61)/X61)</f>
        <v>2.7293404094010616E-2</v>
      </c>
      <c r="AB61" s="2">
        <f>ROUND(X61*(LEFT(AC61,5)+1),0)</f>
        <v>2710</v>
      </c>
      <c r="AC61" s="81" t="str">
        <f>TEXT('MYP Assumptions'!J72,"0.00%")&amp;", CPI"</f>
        <v>2.73%, CPI</v>
      </c>
    </row>
    <row r="62" spans="1:29" hidden="1" x14ac:dyDescent="0.25">
      <c r="A62" s="153"/>
      <c r="B62" s="1326"/>
      <c r="D62" s="2">
        <v>0</v>
      </c>
      <c r="E62" s="1249"/>
      <c r="F62" s="2"/>
      <c r="G62" s="1527" t="str">
        <f t="shared" si="29"/>
        <v>0.00%</v>
      </c>
      <c r="H62" s="2">
        <f t="shared" ref="H62:H70" si="35">ROUND(D62*(LEFT(I62,5)+1),0)</f>
        <v>0</v>
      </c>
      <c r="I62" s="1240" t="str">
        <f>TEXT('MYP Assumptions'!E72,"0.00%")&amp;", CPI"</f>
        <v>3.11%, CPI</v>
      </c>
      <c r="J62" s="66"/>
      <c r="K62" s="1527" t="str">
        <f t="shared" si="30"/>
        <v>0.00%</v>
      </c>
      <c r="L62" s="2">
        <f t="shared" ref="L62:L65" si="36">ROUND(H62*(LEFT(M62,5)+1),0)</f>
        <v>0</v>
      </c>
      <c r="M62" s="1240" t="str">
        <f>TEXT('MYP Assumptions'!F72,"0.00%")&amp;", CPI"</f>
        <v>3.19%, CPI</v>
      </c>
      <c r="O62" s="1527" t="str">
        <f t="shared" si="31"/>
        <v>0.00%</v>
      </c>
      <c r="P62" s="2">
        <f t="shared" ref="P62:P65" si="37">ROUND(L62*(LEFT(Q62,5)+1),0)</f>
        <v>0</v>
      </c>
      <c r="Q62" s="1240" t="str">
        <f>TEXT('MYP Assumptions'!G72,"0.00%")&amp;", CPI"</f>
        <v>2.86%, CPI</v>
      </c>
      <c r="S62" s="83" t="str">
        <f t="shared" si="32"/>
        <v>0.00%</v>
      </c>
      <c r="T62" s="2">
        <f t="shared" ref="T62:T70" si="38">ROUND(P62*(LEFT(U62,5)+1),0)</f>
        <v>0</v>
      </c>
      <c r="U62" s="81" t="str">
        <f>TEXT('MYP Assumptions'!H72,"0.00%")&amp;", CPI"</f>
        <v>2.73%, CPI</v>
      </c>
      <c r="W62" s="83" t="str">
        <f t="shared" si="33"/>
        <v>0.00%</v>
      </c>
      <c r="X62" s="2">
        <f t="shared" ref="X62:X70" si="39">ROUND(T62*(LEFT(Y62,5)+1),0)</f>
        <v>0</v>
      </c>
      <c r="Y62" s="81" t="str">
        <f>TEXT('MYP Assumptions'!I72,"0.00%")&amp;", CPI"</f>
        <v>2.73%, CPI</v>
      </c>
      <c r="AA62" s="83" t="str">
        <f t="shared" si="34"/>
        <v>0.00%</v>
      </c>
      <c r="AB62" s="2">
        <f t="shared" ref="AB62:AB70" si="40">ROUND(X62*(LEFT(AC62,5)+1),0)</f>
        <v>0</v>
      </c>
      <c r="AC62" s="81" t="str">
        <f>TEXT('MYP Assumptions'!J72,"0.00%")&amp;", CPI"</f>
        <v>2.73%, CPI</v>
      </c>
    </row>
    <row r="63" spans="1:29" hidden="1" x14ac:dyDescent="0.25">
      <c r="A63" s="153"/>
      <c r="B63" s="1326"/>
      <c r="D63" s="2">
        <v>0</v>
      </c>
      <c r="E63" s="1249"/>
      <c r="F63" s="2"/>
      <c r="G63" s="1527" t="str">
        <f t="shared" si="29"/>
        <v>0.00%</v>
      </c>
      <c r="H63" s="2">
        <f t="shared" si="35"/>
        <v>0</v>
      </c>
      <c r="I63" s="1240" t="str">
        <f>TEXT('MYP Assumptions'!E72,"0.00%")&amp;", CPI"</f>
        <v>3.11%, CPI</v>
      </c>
      <c r="J63" s="66"/>
      <c r="K63" s="1527" t="str">
        <f t="shared" si="30"/>
        <v>0.00%</v>
      </c>
      <c r="L63" s="2">
        <f t="shared" si="36"/>
        <v>0</v>
      </c>
      <c r="M63" s="1240" t="str">
        <f>TEXT('MYP Assumptions'!F72,"0.00%")&amp;", CPI"</f>
        <v>3.19%, CPI</v>
      </c>
      <c r="O63" s="1527" t="str">
        <f t="shared" si="31"/>
        <v>0.00%</v>
      </c>
      <c r="P63" s="2">
        <f t="shared" si="37"/>
        <v>0</v>
      </c>
      <c r="Q63" s="1240" t="str">
        <f>TEXT('MYP Assumptions'!G72,"0.00%")&amp;", CPI"</f>
        <v>2.86%, CPI</v>
      </c>
      <c r="S63" s="83" t="str">
        <f t="shared" si="32"/>
        <v>0.00%</v>
      </c>
      <c r="T63" s="2">
        <f t="shared" si="38"/>
        <v>0</v>
      </c>
      <c r="U63" s="81" t="str">
        <f>TEXT('MYP Assumptions'!H72,"0.00%")&amp;", CPI"</f>
        <v>2.73%, CPI</v>
      </c>
      <c r="W63" s="83" t="str">
        <f t="shared" si="33"/>
        <v>0.00%</v>
      </c>
      <c r="X63" s="2">
        <f t="shared" si="39"/>
        <v>0</v>
      </c>
      <c r="Y63" s="81" t="str">
        <f>TEXT('MYP Assumptions'!I72,"0.00%")&amp;", CPI"</f>
        <v>2.73%, CPI</v>
      </c>
      <c r="AA63" s="83" t="str">
        <f t="shared" si="34"/>
        <v>0.00%</v>
      </c>
      <c r="AB63" s="2">
        <f t="shared" si="40"/>
        <v>0</v>
      </c>
      <c r="AC63" s="81" t="str">
        <f>TEXT('MYP Assumptions'!J72,"0.00%")&amp;", CPI"</f>
        <v>2.73%, CPI</v>
      </c>
    </row>
    <row r="64" spans="1:29" hidden="1" x14ac:dyDescent="0.25">
      <c r="A64" s="153"/>
      <c r="B64" s="1326"/>
      <c r="D64" s="2">
        <v>0</v>
      </c>
      <c r="E64" s="1249"/>
      <c r="F64" s="2"/>
      <c r="G64" s="1527" t="str">
        <f t="shared" si="29"/>
        <v>0.00%</v>
      </c>
      <c r="H64" s="2">
        <f t="shared" si="35"/>
        <v>0</v>
      </c>
      <c r="I64" s="1240" t="str">
        <f>TEXT('MYP Assumptions'!E72,"0.00%")&amp;", CPI"</f>
        <v>3.11%, CPI</v>
      </c>
      <c r="J64" s="66"/>
      <c r="K64" s="1527" t="str">
        <f t="shared" si="30"/>
        <v>0.00%</v>
      </c>
      <c r="L64" s="2">
        <f t="shared" si="36"/>
        <v>0</v>
      </c>
      <c r="M64" s="1240" t="str">
        <f>TEXT('MYP Assumptions'!F72,"0.00%")&amp;", CPI"</f>
        <v>3.19%, CPI</v>
      </c>
      <c r="O64" s="1527" t="str">
        <f t="shared" si="31"/>
        <v>0.00%</v>
      </c>
      <c r="P64" s="2">
        <f t="shared" si="37"/>
        <v>0</v>
      </c>
      <c r="Q64" s="1240" t="str">
        <f>TEXT('MYP Assumptions'!G72,"0.00%")&amp;", CPI"</f>
        <v>2.86%, CPI</v>
      </c>
      <c r="S64" s="83" t="str">
        <f t="shared" si="32"/>
        <v>0.00%</v>
      </c>
      <c r="T64" s="2">
        <f t="shared" si="38"/>
        <v>0</v>
      </c>
      <c r="U64" s="81" t="str">
        <f>TEXT('MYP Assumptions'!H72,"0.00%")&amp;", CPI"</f>
        <v>2.73%, CPI</v>
      </c>
      <c r="W64" s="83" t="str">
        <f t="shared" si="33"/>
        <v>0.00%</v>
      </c>
      <c r="X64" s="2">
        <f t="shared" si="39"/>
        <v>0</v>
      </c>
      <c r="Y64" s="81" t="str">
        <f>TEXT('MYP Assumptions'!I72,"0.00%")&amp;", CPI"</f>
        <v>2.73%, CPI</v>
      </c>
      <c r="AA64" s="83" t="str">
        <f t="shared" si="34"/>
        <v>0.00%</v>
      </c>
      <c r="AB64" s="2">
        <f t="shared" si="40"/>
        <v>0</v>
      </c>
      <c r="AC64" s="81" t="str">
        <f>TEXT('MYP Assumptions'!J72,"0.00%")&amp;", CPI"</f>
        <v>2.73%, CPI</v>
      </c>
    </row>
    <row r="65" spans="1:29" hidden="1" x14ac:dyDescent="0.25">
      <c r="A65" s="153"/>
      <c r="B65" s="1326"/>
      <c r="D65" s="2">
        <v>0</v>
      </c>
      <c r="E65" s="1249"/>
      <c r="F65" s="2"/>
      <c r="G65" s="1527" t="str">
        <f t="shared" si="29"/>
        <v>0.00%</v>
      </c>
      <c r="H65" s="2">
        <f t="shared" si="35"/>
        <v>0</v>
      </c>
      <c r="I65" s="1240" t="str">
        <f>TEXT('MYP Assumptions'!E72,"0.00%")&amp;", CPI"</f>
        <v>3.11%, CPI</v>
      </c>
      <c r="J65" s="66"/>
      <c r="K65" s="1527" t="str">
        <f t="shared" si="30"/>
        <v>0.00%</v>
      </c>
      <c r="L65" s="2">
        <f t="shared" si="36"/>
        <v>0</v>
      </c>
      <c r="M65" s="1240" t="str">
        <f>TEXT('MYP Assumptions'!F72,"0.00%")&amp;", CPI"</f>
        <v>3.19%, CPI</v>
      </c>
      <c r="O65" s="1527" t="str">
        <f t="shared" si="31"/>
        <v>0.00%</v>
      </c>
      <c r="P65" s="2">
        <f t="shared" si="37"/>
        <v>0</v>
      </c>
      <c r="Q65" s="1240" t="str">
        <f>TEXT('MYP Assumptions'!G72,"0.00%")&amp;", CPI"</f>
        <v>2.86%, CPI</v>
      </c>
      <c r="S65" s="83" t="str">
        <f t="shared" si="32"/>
        <v>0.00%</v>
      </c>
      <c r="T65" s="2">
        <f t="shared" si="38"/>
        <v>0</v>
      </c>
      <c r="U65" s="81" t="str">
        <f>TEXT('MYP Assumptions'!H72,"0.00%")&amp;", CPI"</f>
        <v>2.73%, CPI</v>
      </c>
      <c r="W65" s="83" t="str">
        <f t="shared" si="33"/>
        <v>0.00%</v>
      </c>
      <c r="X65" s="2">
        <f t="shared" si="39"/>
        <v>0</v>
      </c>
      <c r="Y65" s="81" t="str">
        <f>TEXT('MYP Assumptions'!I72,"0.00%")&amp;", CPI"</f>
        <v>2.73%, CPI</v>
      </c>
      <c r="AA65" s="83" t="str">
        <f t="shared" si="34"/>
        <v>0.00%</v>
      </c>
      <c r="AB65" s="2">
        <f t="shared" si="40"/>
        <v>0</v>
      </c>
      <c r="AC65" s="81" t="str">
        <f>TEXT('MYP Assumptions'!J72,"0.00%")&amp;", CPI"</f>
        <v>2.73%, CPI</v>
      </c>
    </row>
    <row r="66" spans="1:29" hidden="1" x14ac:dyDescent="0.25">
      <c r="A66" s="153"/>
      <c r="B66" s="1326"/>
      <c r="D66" s="2">
        <v>0</v>
      </c>
      <c r="E66" s="1249"/>
      <c r="F66" s="2"/>
      <c r="G66" s="1527" t="str">
        <f t="shared" si="29"/>
        <v>0.00%</v>
      </c>
      <c r="H66" s="2">
        <f t="shared" si="35"/>
        <v>0</v>
      </c>
      <c r="I66" s="1240" t="str">
        <f>TEXT('MYP Assumptions'!$E$72,"0.00%")&amp;", CPI"</f>
        <v>3.11%, CPI</v>
      </c>
      <c r="J66" s="66"/>
      <c r="K66" s="1527" t="str">
        <f t="shared" si="30"/>
        <v>0.00%</v>
      </c>
      <c r="L66" s="2">
        <f>ROUND(H66*(LEFT(M66,5)+1),0)</f>
        <v>0</v>
      </c>
      <c r="M66" s="1240" t="str">
        <f>TEXT('MYP Assumptions'!$F$72,"0.00%")&amp;", CPI"</f>
        <v>3.19%, CPI</v>
      </c>
      <c r="O66" s="1527" t="str">
        <f t="shared" si="31"/>
        <v>0.00%</v>
      </c>
      <c r="P66" s="2">
        <f>ROUND(L66*(LEFT(Q66,5)+1),0)</f>
        <v>0</v>
      </c>
      <c r="Q66" s="1240" t="str">
        <f>TEXT('MYP Assumptions'!$G$72,"0.00%")&amp;", CPI"</f>
        <v>2.86%, CPI</v>
      </c>
      <c r="S66" s="83" t="str">
        <f t="shared" si="32"/>
        <v>0.00%</v>
      </c>
      <c r="T66" s="2">
        <f t="shared" si="38"/>
        <v>0</v>
      </c>
      <c r="U66" s="81" t="str">
        <f>TEXT('MYP Assumptions'!H72,"0.00%")&amp;", CPI"</f>
        <v>2.73%, CPI</v>
      </c>
      <c r="W66" s="83" t="str">
        <f t="shared" si="33"/>
        <v>0.00%</v>
      </c>
      <c r="X66" s="2">
        <f t="shared" si="39"/>
        <v>0</v>
      </c>
      <c r="Y66" s="81" t="str">
        <f>TEXT('MYP Assumptions'!I72,"0.00%")&amp;", CPI"</f>
        <v>2.73%, CPI</v>
      </c>
      <c r="AA66" s="83" t="str">
        <f t="shared" si="34"/>
        <v>0.00%</v>
      </c>
      <c r="AB66" s="2">
        <f t="shared" si="40"/>
        <v>0</v>
      </c>
      <c r="AC66" s="81" t="str">
        <f>TEXT('MYP Assumptions'!J72,"0.00%")&amp;", CPI"</f>
        <v>2.73%, CPI</v>
      </c>
    </row>
    <row r="67" spans="1:29" hidden="1" x14ac:dyDescent="0.25">
      <c r="A67" s="153"/>
      <c r="B67" s="1326"/>
      <c r="D67" s="2">
        <v>0</v>
      </c>
      <c r="E67" s="1249"/>
      <c r="F67" s="2"/>
      <c r="G67" s="1527" t="str">
        <f t="shared" si="29"/>
        <v>0.00%</v>
      </c>
      <c r="H67" s="2">
        <f t="shared" si="35"/>
        <v>0</v>
      </c>
      <c r="I67" s="1240" t="str">
        <f>TEXT('MYP Assumptions'!$E$72,"0.00%")&amp;", CPI"</f>
        <v>3.11%, CPI</v>
      </c>
      <c r="J67" s="66"/>
      <c r="K67" s="1527" t="str">
        <f t="shared" si="30"/>
        <v>0.00%</v>
      </c>
      <c r="L67" s="2">
        <f t="shared" ref="L67:L70" si="41">ROUND(H67*(LEFT(M67,5)+1),0)</f>
        <v>0</v>
      </c>
      <c r="M67" s="1240" t="str">
        <f>TEXT('MYP Assumptions'!$F$72,"0.00%")&amp;", CPI"</f>
        <v>3.19%, CPI</v>
      </c>
      <c r="O67" s="1527" t="str">
        <f t="shared" si="31"/>
        <v>0.00%</v>
      </c>
      <c r="P67" s="2">
        <f t="shared" ref="P67:P70" si="42">ROUND(L67*(LEFT(Q67,5)+1),0)</f>
        <v>0</v>
      </c>
      <c r="Q67" s="1240" t="str">
        <f>TEXT('MYP Assumptions'!$G$72,"0.00%")&amp;", CPI"</f>
        <v>2.86%, CPI</v>
      </c>
      <c r="S67" s="83"/>
      <c r="T67" s="2"/>
      <c r="U67" s="81"/>
      <c r="W67" s="83"/>
      <c r="X67" s="2"/>
      <c r="Y67" s="81"/>
      <c r="AA67" s="83"/>
      <c r="AB67" s="2"/>
      <c r="AC67" s="81"/>
    </row>
    <row r="68" spans="1:29" hidden="1" x14ac:dyDescent="0.25">
      <c r="A68" s="153"/>
      <c r="B68" s="1326"/>
      <c r="D68" s="2">
        <v>0</v>
      </c>
      <c r="E68" s="1249"/>
      <c r="F68" s="2"/>
      <c r="G68" s="1527" t="str">
        <f t="shared" si="29"/>
        <v>0.00%</v>
      </c>
      <c r="H68" s="2">
        <f t="shared" si="35"/>
        <v>0</v>
      </c>
      <c r="I68" s="1240" t="str">
        <f>TEXT('MYP Assumptions'!$E$72,"0.00%")&amp;", CPI"</f>
        <v>3.11%, CPI</v>
      </c>
      <c r="J68" s="66"/>
      <c r="K68" s="1527" t="str">
        <f t="shared" si="30"/>
        <v>0.00%</v>
      </c>
      <c r="L68" s="2">
        <f t="shared" si="41"/>
        <v>0</v>
      </c>
      <c r="M68" s="1240" t="str">
        <f>TEXT('MYP Assumptions'!$F$72,"0.00%")&amp;", CPI"</f>
        <v>3.19%, CPI</v>
      </c>
      <c r="O68" s="1527" t="str">
        <f t="shared" si="31"/>
        <v>0.00%</v>
      </c>
      <c r="P68" s="2">
        <f t="shared" si="42"/>
        <v>0</v>
      </c>
      <c r="Q68" s="1240" t="str">
        <f>TEXT('MYP Assumptions'!$G$72,"0.00%")&amp;", CPI"</f>
        <v>2.86%, CPI</v>
      </c>
      <c r="S68" s="83"/>
      <c r="T68" s="2"/>
      <c r="U68" s="81"/>
      <c r="W68" s="83"/>
      <c r="X68" s="2"/>
      <c r="Y68" s="81"/>
      <c r="AA68" s="83"/>
      <c r="AB68" s="2"/>
      <c r="AC68" s="81"/>
    </row>
    <row r="69" spans="1:29" hidden="1" x14ac:dyDescent="0.25">
      <c r="A69" s="153"/>
      <c r="B69" s="1326"/>
      <c r="E69" s="1249"/>
      <c r="F69" s="2"/>
      <c r="G69" s="1527" t="str">
        <f t="shared" si="29"/>
        <v>0.00%</v>
      </c>
      <c r="H69" s="2">
        <f t="shared" si="35"/>
        <v>0</v>
      </c>
      <c r="I69" s="1240" t="str">
        <f>TEXT('MYP Assumptions'!$E$72,"0.00%")&amp;", CPI"</f>
        <v>3.11%, CPI</v>
      </c>
      <c r="J69" s="66"/>
      <c r="K69" s="1527" t="str">
        <f t="shared" si="30"/>
        <v>0.00%</v>
      </c>
      <c r="L69" s="2">
        <f t="shared" si="41"/>
        <v>0</v>
      </c>
      <c r="M69" s="1240" t="str">
        <f>TEXT('MYP Assumptions'!$F$72,"0.00%")&amp;", CPI"</f>
        <v>3.19%, CPI</v>
      </c>
      <c r="O69" s="1527" t="str">
        <f t="shared" si="31"/>
        <v>0.00%</v>
      </c>
      <c r="P69" s="2">
        <f t="shared" si="42"/>
        <v>0</v>
      </c>
      <c r="Q69" s="1240" t="str">
        <f>TEXT('MYP Assumptions'!$G$72,"0.00%")&amp;", CPI"</f>
        <v>2.86%, CPI</v>
      </c>
      <c r="S69" s="83"/>
      <c r="T69" s="2"/>
      <c r="U69" s="81"/>
      <c r="W69" s="83"/>
      <c r="X69" s="2"/>
      <c r="Y69" s="81"/>
      <c r="AA69" s="83"/>
      <c r="AB69" s="2"/>
      <c r="AC69" s="81"/>
    </row>
    <row r="70" spans="1:29" hidden="1" x14ac:dyDescent="0.25">
      <c r="A70" s="153"/>
      <c r="B70" s="1326"/>
      <c r="E70" s="1249"/>
      <c r="F70" s="2"/>
      <c r="G70" s="1527" t="str">
        <f t="shared" si="29"/>
        <v>0.00%</v>
      </c>
      <c r="H70" s="2">
        <f t="shared" si="35"/>
        <v>0</v>
      </c>
      <c r="I70" s="1240" t="str">
        <f>TEXT('MYP Assumptions'!$E$72,"0.00%")&amp;", CPI"</f>
        <v>3.11%, CPI</v>
      </c>
      <c r="J70" s="66"/>
      <c r="K70" s="1527" t="str">
        <f t="shared" si="30"/>
        <v>0.00%</v>
      </c>
      <c r="L70" s="2">
        <f t="shared" si="41"/>
        <v>0</v>
      </c>
      <c r="M70" s="1240" t="str">
        <f>TEXT('MYP Assumptions'!$F$72,"0.00%")&amp;", CPI"</f>
        <v>3.19%, CPI</v>
      </c>
      <c r="O70" s="1527" t="str">
        <f t="shared" si="31"/>
        <v>0.00%</v>
      </c>
      <c r="P70" s="2">
        <f t="shared" si="42"/>
        <v>0</v>
      </c>
      <c r="Q70" s="1240" t="str">
        <f>TEXT('MYP Assumptions'!$G$72,"0.00%")&amp;", CPI"</f>
        <v>2.86%, CPI</v>
      </c>
      <c r="S70" s="83" t="str">
        <f t="shared" si="32"/>
        <v>0.00%</v>
      </c>
      <c r="T70" s="2">
        <f t="shared" si="38"/>
        <v>0</v>
      </c>
      <c r="U70" s="81" t="str">
        <f>TEXT('MYP Assumptions'!H72,"0.00%")&amp;", CPI"</f>
        <v>2.73%, CPI</v>
      </c>
      <c r="W70" s="83" t="str">
        <f t="shared" si="33"/>
        <v>0.00%</v>
      </c>
      <c r="X70" s="2">
        <f t="shared" si="39"/>
        <v>0</v>
      </c>
      <c r="Y70" s="81" t="str">
        <f>TEXT('MYP Assumptions'!I72,"0.00%")&amp;", CPI"</f>
        <v>2.73%, CPI</v>
      </c>
      <c r="AA70" s="83" t="str">
        <f t="shared" si="34"/>
        <v>0.00%</v>
      </c>
      <c r="AB70" s="2">
        <f t="shared" si="40"/>
        <v>0</v>
      </c>
      <c r="AC70" s="81" t="str">
        <f>TEXT('MYP Assumptions'!J72,"0.00%")&amp;", CPI"</f>
        <v>2.73%, CPI</v>
      </c>
    </row>
    <row r="71" spans="1:29" x14ac:dyDescent="0.25">
      <c r="A71" s="154"/>
      <c r="B71" s="1243"/>
      <c r="D71" s="8">
        <f>SUM(D61:D70)</f>
        <v>26532</v>
      </c>
      <c r="E71" s="1249"/>
      <c r="F71" s="2"/>
      <c r="G71" s="1527">
        <f t="shared" si="29"/>
        <v>-0.79760289461781997</v>
      </c>
      <c r="H71" s="8">
        <f>SUM(H61:H70)</f>
        <v>5370</v>
      </c>
      <c r="I71" s="1882">
        <f>+H71-D71</f>
        <v>-21162</v>
      </c>
      <c r="J71" s="29"/>
      <c r="K71" s="1527">
        <f t="shared" si="30"/>
        <v>-0.53445065176908757</v>
      </c>
      <c r="L71" s="8">
        <f>SUM(L61:L70)</f>
        <v>2500</v>
      </c>
      <c r="M71" s="1882">
        <f>+L71-H71</f>
        <v>-2870</v>
      </c>
      <c r="O71" s="1527">
        <f t="shared" si="31"/>
        <v>0</v>
      </c>
      <c r="P71" s="8">
        <f>SUM(P61:P70)</f>
        <v>2500</v>
      </c>
      <c r="Q71" s="1882">
        <f>+P71-L71</f>
        <v>0</v>
      </c>
      <c r="S71" s="83">
        <f t="shared" si="32"/>
        <v>2.7199999999999998E-2</v>
      </c>
      <c r="T71" s="8">
        <f>SUM(T61:T70)</f>
        <v>2568</v>
      </c>
      <c r="U71" s="73"/>
      <c r="W71" s="83">
        <f t="shared" si="33"/>
        <v>2.7258566978193146E-2</v>
      </c>
      <c r="X71" s="8">
        <f>SUM(X61:X70)</f>
        <v>2638</v>
      </c>
      <c r="Y71" s="73"/>
      <c r="AA71" s="83">
        <f t="shared" si="34"/>
        <v>2.7293404094010616E-2</v>
      </c>
      <c r="AB71" s="8">
        <f>SUM(AB61:AB70)</f>
        <v>2710</v>
      </c>
      <c r="AC71" s="73"/>
    </row>
    <row r="72" spans="1:29" x14ac:dyDescent="0.25">
      <c r="A72" s="153"/>
      <c r="E72" s="1249"/>
      <c r="F72" s="2"/>
      <c r="H72" s="2"/>
      <c r="I72" s="1257"/>
      <c r="J72" s="66"/>
      <c r="L72" s="2"/>
      <c r="M72" s="1335"/>
      <c r="Q72" s="1335"/>
      <c r="T72" s="2"/>
      <c r="U72" s="73"/>
      <c r="X72" s="2"/>
      <c r="Y72" s="73"/>
      <c r="AB72" s="2"/>
      <c r="AC72" s="73"/>
    </row>
    <row r="73" spans="1:29" s="4" customFormat="1" x14ac:dyDescent="0.25">
      <c r="A73" s="151"/>
      <c r="B73" s="1323" t="s">
        <v>16</v>
      </c>
      <c r="C73" s="1259"/>
      <c r="D73" s="6"/>
      <c r="E73" s="1250"/>
      <c r="F73" s="6"/>
      <c r="G73" s="1539"/>
      <c r="H73" s="6"/>
      <c r="I73" s="1259"/>
      <c r="J73" s="58"/>
      <c r="K73" s="1571"/>
      <c r="L73" s="6"/>
      <c r="M73" s="1337"/>
      <c r="O73" s="1571"/>
      <c r="P73" s="6"/>
      <c r="Q73" s="1337"/>
      <c r="R73" s="111"/>
      <c r="U73" s="71"/>
      <c r="Y73" s="71"/>
      <c r="AC73" s="71"/>
    </row>
    <row r="74" spans="1:29" x14ac:dyDescent="0.25">
      <c r="A74" s="153"/>
      <c r="B74" s="1326">
        <v>5213</v>
      </c>
      <c r="C74" s="1243" t="s">
        <v>262</v>
      </c>
      <c r="D74" s="2">
        <v>2000</v>
      </c>
      <c r="E74" s="1249"/>
      <c r="F74" s="2"/>
      <c r="G74" s="1527">
        <f t="shared" ref="G74:G79" si="43">IF(D74=0,"0.00%",(H74-D74)/D74)</f>
        <v>0</v>
      </c>
      <c r="H74" s="2">
        <v>2000</v>
      </c>
      <c r="I74" s="1240"/>
      <c r="J74" s="66"/>
      <c r="K74" s="1527">
        <f t="shared" ref="K74:K87" si="44">IF(H74=0,"0.00%",(L74-H74)/H74)</f>
        <v>-0.5</v>
      </c>
      <c r="L74" s="2">
        <v>1000</v>
      </c>
      <c r="M74" s="1240"/>
      <c r="O74" s="1527">
        <f t="shared" ref="O74:O87" si="45">IF(L74=0,"0.00%",(P74-L74)/L74)</f>
        <v>0</v>
      </c>
      <c r="P74" s="2">
        <f>+L74</f>
        <v>1000</v>
      </c>
      <c r="Q74" s="1240"/>
      <c r="S74" s="83">
        <f t="shared" ref="S74:S87" si="46">IF(P74=0,"0.00%",(T74-P74)/P74)</f>
        <v>2.7E-2</v>
      </c>
      <c r="T74" s="2">
        <f>ROUND(P74*(LEFT(U74,5)+1),0)</f>
        <v>1027</v>
      </c>
      <c r="U74" s="81" t="str">
        <f>TEXT('MYP Assumptions'!H72,"0.00%")&amp;", CPI"</f>
        <v>2.73%, CPI</v>
      </c>
      <c r="W74" s="83">
        <f t="shared" ref="W74:W87" si="47">IF(T74=0,"0.00%",(X74-T74)/T74)</f>
        <v>2.7263875365141188E-2</v>
      </c>
      <c r="X74" s="2">
        <f>ROUND(T74*(LEFT(Y74,5)+1),0)</f>
        <v>1055</v>
      </c>
      <c r="Y74" s="81" t="str">
        <f>TEXT('MYP Assumptions'!I72,"0.00%")&amp;", CPI"</f>
        <v>2.73%, CPI</v>
      </c>
      <c r="AA74" s="83">
        <f t="shared" ref="AA74:AA87" si="48">IF(X74=0,"0.00%",(AB74-X74)/X74)</f>
        <v>2.7488151658767772E-2</v>
      </c>
      <c r="AB74" s="2">
        <f>ROUND(X74*(LEFT(AC74,5)+1),0)</f>
        <v>1084</v>
      </c>
      <c r="AC74" s="81" t="str">
        <f>TEXT('MYP Assumptions'!J72,"0.00%")&amp;", CPI"</f>
        <v>2.73%, CPI</v>
      </c>
    </row>
    <row r="75" spans="1:29" hidden="1" x14ac:dyDescent="0.25">
      <c r="A75" s="153"/>
      <c r="B75" s="1326"/>
      <c r="D75" s="2">
        <v>0</v>
      </c>
      <c r="E75" s="1249"/>
      <c r="F75" s="2"/>
      <c r="G75" s="1527" t="str">
        <f t="shared" si="43"/>
        <v>0.00%</v>
      </c>
      <c r="H75" s="2">
        <f>ROUND(D75*(LEFT(I75,5)+1),0)</f>
        <v>0</v>
      </c>
      <c r="I75" s="1240" t="str">
        <f>TEXT('MYP Assumptions'!E72,"0.00%")&amp;", CPI"</f>
        <v>3.11%, CPI</v>
      </c>
      <c r="J75" s="66"/>
      <c r="K75" s="1527" t="str">
        <f t="shared" si="44"/>
        <v>0.00%</v>
      </c>
      <c r="L75" s="2">
        <f t="shared" ref="L75:L86" si="49">ROUND(H75*(LEFT(M75,5)+1),0)</f>
        <v>0</v>
      </c>
      <c r="M75" s="1240" t="str">
        <f>TEXT('MYP Assumptions'!F72,"0.00%")&amp;", CPI"</f>
        <v>3.19%, CPI</v>
      </c>
      <c r="O75" s="1527" t="str">
        <f t="shared" si="45"/>
        <v>0.00%</v>
      </c>
      <c r="P75" s="2">
        <f t="shared" ref="P75:P86" si="50">ROUND(L75*(LEFT(Q75,5)+1),0)</f>
        <v>0</v>
      </c>
      <c r="Q75" s="1240" t="str">
        <f>TEXT('MYP Assumptions'!G72,"0.00%")&amp;", CPI"</f>
        <v>2.86%, CPI</v>
      </c>
      <c r="S75" s="83" t="str">
        <f t="shared" si="46"/>
        <v>0.00%</v>
      </c>
      <c r="T75" s="2">
        <f t="shared" ref="T75:T86" si="51">ROUND(P75*(LEFT(U75,5)+1),0)</f>
        <v>0</v>
      </c>
      <c r="U75" s="81" t="str">
        <f>TEXT('MYP Assumptions'!H72,"0.00%")&amp;", CPI"</f>
        <v>2.73%, CPI</v>
      </c>
      <c r="W75" s="83" t="str">
        <f t="shared" si="47"/>
        <v>0.00%</v>
      </c>
      <c r="X75" s="2">
        <f t="shared" ref="X75:X86" si="52">ROUND(T75*(LEFT(Y75,5)+1),0)</f>
        <v>0</v>
      </c>
      <c r="Y75" s="81" t="str">
        <f>TEXT('MYP Assumptions'!I72,"0.00%")&amp;", CPI"</f>
        <v>2.73%, CPI</v>
      </c>
      <c r="AA75" s="83" t="str">
        <f t="shared" si="48"/>
        <v>0.00%</v>
      </c>
      <c r="AB75" s="2">
        <f t="shared" ref="AB75:AB86" si="53">ROUND(X75*(LEFT(AC75,5)+1),0)</f>
        <v>0</v>
      </c>
      <c r="AC75" s="81" t="str">
        <f>TEXT('MYP Assumptions'!J72,"0.00%")&amp;", CPI"</f>
        <v>2.73%, CPI</v>
      </c>
    </row>
    <row r="76" spans="1:29" hidden="1" x14ac:dyDescent="0.25">
      <c r="A76" s="153"/>
      <c r="B76" s="1326"/>
      <c r="D76" s="2">
        <v>0</v>
      </c>
      <c r="E76" s="1249"/>
      <c r="F76" s="2"/>
      <c r="G76" s="1527" t="str">
        <f t="shared" si="43"/>
        <v>0.00%</v>
      </c>
      <c r="H76" s="2">
        <f t="shared" ref="H76:H81" si="54">ROUND(D76*(LEFT(I76,5)+1),0)</f>
        <v>0</v>
      </c>
      <c r="I76" s="1240" t="str">
        <f>TEXT('MYP Assumptions'!E72,"0.00%")&amp;", CPI"</f>
        <v>3.11%, CPI</v>
      </c>
      <c r="J76" s="66"/>
      <c r="K76" s="1527" t="str">
        <f t="shared" si="44"/>
        <v>0.00%</v>
      </c>
      <c r="L76" s="2">
        <f t="shared" si="49"/>
        <v>0</v>
      </c>
      <c r="M76" s="1240" t="str">
        <f>TEXT('MYP Assumptions'!F72,"0.00%")&amp;", CPI"</f>
        <v>3.19%, CPI</v>
      </c>
      <c r="O76" s="1527" t="str">
        <f t="shared" si="45"/>
        <v>0.00%</v>
      </c>
      <c r="P76" s="2">
        <f t="shared" si="50"/>
        <v>0</v>
      </c>
      <c r="Q76" s="1240" t="str">
        <f>TEXT('MYP Assumptions'!G72,"0.00%")&amp;", CPI"</f>
        <v>2.86%, CPI</v>
      </c>
      <c r="S76" s="83" t="str">
        <f t="shared" si="46"/>
        <v>0.00%</v>
      </c>
      <c r="T76" s="2">
        <f t="shared" si="51"/>
        <v>0</v>
      </c>
      <c r="U76" s="81" t="str">
        <f>TEXT('MYP Assumptions'!H72,"0.00%")&amp;", CPI"</f>
        <v>2.73%, CPI</v>
      </c>
      <c r="W76" s="83" t="str">
        <f t="shared" si="47"/>
        <v>0.00%</v>
      </c>
      <c r="X76" s="2">
        <f t="shared" si="52"/>
        <v>0</v>
      </c>
      <c r="Y76" s="81" t="str">
        <f>TEXT('MYP Assumptions'!I72,"0.00%")&amp;", CPI"</f>
        <v>2.73%, CPI</v>
      </c>
      <c r="AA76" s="83" t="str">
        <f t="shared" si="48"/>
        <v>0.00%</v>
      </c>
      <c r="AB76" s="2">
        <f t="shared" si="53"/>
        <v>0</v>
      </c>
      <c r="AC76" s="81" t="str">
        <f>TEXT('MYP Assumptions'!J72,"0.00%")&amp;", CPI"</f>
        <v>2.73%, CPI</v>
      </c>
    </row>
    <row r="77" spans="1:29" hidden="1" x14ac:dyDescent="0.25">
      <c r="A77" s="153"/>
      <c r="B77" s="1326"/>
      <c r="D77" s="2">
        <v>0</v>
      </c>
      <c r="E77" s="1249"/>
      <c r="F77" s="2"/>
      <c r="G77" s="1527" t="str">
        <f t="shared" si="43"/>
        <v>0.00%</v>
      </c>
      <c r="H77" s="2">
        <f t="shared" si="54"/>
        <v>0</v>
      </c>
      <c r="I77" s="1240" t="str">
        <f>TEXT('MYP Assumptions'!E72,"0.00%")&amp;", CPI"</f>
        <v>3.11%, CPI</v>
      </c>
      <c r="J77" s="66"/>
      <c r="K77" s="1527" t="str">
        <f t="shared" si="44"/>
        <v>0.00%</v>
      </c>
      <c r="L77" s="2">
        <f t="shared" si="49"/>
        <v>0</v>
      </c>
      <c r="M77" s="1240" t="str">
        <f>TEXT('MYP Assumptions'!F72,"0.00%")&amp;", CPI"</f>
        <v>3.19%, CPI</v>
      </c>
      <c r="O77" s="1527" t="str">
        <f t="shared" si="45"/>
        <v>0.00%</v>
      </c>
      <c r="P77" s="2">
        <f t="shared" si="50"/>
        <v>0</v>
      </c>
      <c r="Q77" s="1240" t="str">
        <f>TEXT('MYP Assumptions'!G72,"0.00%")&amp;", CPI"</f>
        <v>2.86%, CPI</v>
      </c>
      <c r="S77" s="83" t="str">
        <f t="shared" si="46"/>
        <v>0.00%</v>
      </c>
      <c r="T77" s="2">
        <f t="shared" si="51"/>
        <v>0</v>
      </c>
      <c r="U77" s="81" t="str">
        <f>TEXT('MYP Assumptions'!H72,"0.00%")&amp;", CPI"</f>
        <v>2.73%, CPI</v>
      </c>
      <c r="W77" s="83" t="str">
        <f t="shared" si="47"/>
        <v>0.00%</v>
      </c>
      <c r="X77" s="2">
        <f t="shared" si="52"/>
        <v>0</v>
      </c>
      <c r="Y77" s="81" t="str">
        <f>TEXT('MYP Assumptions'!I72,"0.00%")&amp;", CPI"</f>
        <v>2.73%, CPI</v>
      </c>
      <c r="AA77" s="83" t="str">
        <f t="shared" si="48"/>
        <v>0.00%</v>
      </c>
      <c r="AB77" s="2">
        <f t="shared" si="53"/>
        <v>0</v>
      </c>
      <c r="AC77" s="81" t="str">
        <f>TEXT('MYP Assumptions'!J72,"0.00%")&amp;", CPI"</f>
        <v>2.73%, CPI</v>
      </c>
    </row>
    <row r="78" spans="1:29" hidden="1" x14ac:dyDescent="0.25">
      <c r="A78" s="153"/>
      <c r="B78" s="1326"/>
      <c r="D78" s="2">
        <v>0</v>
      </c>
      <c r="E78" s="1249"/>
      <c r="F78" s="2"/>
      <c r="G78" s="1527" t="str">
        <f t="shared" si="43"/>
        <v>0.00%</v>
      </c>
      <c r="H78" s="2">
        <f t="shared" si="54"/>
        <v>0</v>
      </c>
      <c r="I78" s="1240" t="str">
        <f>TEXT('MYP Assumptions'!E72,"0.00%")&amp;", CPI"</f>
        <v>3.11%, CPI</v>
      </c>
      <c r="J78" s="66"/>
      <c r="K78" s="1527" t="str">
        <f t="shared" si="44"/>
        <v>0.00%</v>
      </c>
      <c r="L78" s="2">
        <f t="shared" si="49"/>
        <v>0</v>
      </c>
      <c r="M78" s="1240" t="str">
        <f>TEXT('MYP Assumptions'!F72,"0.00%")&amp;", CPI"</f>
        <v>3.19%, CPI</v>
      </c>
      <c r="O78" s="1527" t="str">
        <f t="shared" si="45"/>
        <v>0.00%</v>
      </c>
      <c r="P78" s="2">
        <f t="shared" si="50"/>
        <v>0</v>
      </c>
      <c r="Q78" s="1240" t="str">
        <f>TEXT('MYP Assumptions'!G72,"0.00%")&amp;", CPI"</f>
        <v>2.86%, CPI</v>
      </c>
      <c r="S78" s="83" t="str">
        <f t="shared" si="46"/>
        <v>0.00%</v>
      </c>
      <c r="T78" s="2">
        <f t="shared" si="51"/>
        <v>0</v>
      </c>
      <c r="U78" s="81" t="str">
        <f>TEXT('MYP Assumptions'!H72,"0.00%")&amp;", CPI"</f>
        <v>2.73%, CPI</v>
      </c>
      <c r="W78" s="83" t="str">
        <f t="shared" si="47"/>
        <v>0.00%</v>
      </c>
      <c r="X78" s="2">
        <f t="shared" si="52"/>
        <v>0</v>
      </c>
      <c r="Y78" s="81" t="str">
        <f>TEXT('MYP Assumptions'!I72,"0.00%")&amp;", CPI"</f>
        <v>2.73%, CPI</v>
      </c>
      <c r="AA78" s="83" t="str">
        <f t="shared" si="48"/>
        <v>0.00%</v>
      </c>
      <c r="AB78" s="2">
        <f t="shared" si="53"/>
        <v>0</v>
      </c>
      <c r="AC78" s="81" t="str">
        <f>TEXT('MYP Assumptions'!J72,"0.00%")&amp;", CPI"</f>
        <v>2.73%, CPI</v>
      </c>
    </row>
    <row r="79" spans="1:29" hidden="1" x14ac:dyDescent="0.25">
      <c r="A79" s="153"/>
      <c r="B79" s="1326"/>
      <c r="D79" s="2">
        <v>0</v>
      </c>
      <c r="E79" s="1249"/>
      <c r="F79" s="2"/>
      <c r="G79" s="1527" t="str">
        <f t="shared" si="43"/>
        <v>0.00%</v>
      </c>
      <c r="H79" s="2">
        <f t="shared" si="54"/>
        <v>0</v>
      </c>
      <c r="I79" s="1240" t="str">
        <f>TEXT('MYP Assumptions'!E72,"0.00%")&amp;", CPI"</f>
        <v>3.11%, CPI</v>
      </c>
      <c r="J79" s="66"/>
      <c r="K79" s="1527" t="str">
        <f t="shared" si="44"/>
        <v>0.00%</v>
      </c>
      <c r="L79" s="2">
        <f t="shared" si="49"/>
        <v>0</v>
      </c>
      <c r="M79" s="1240" t="str">
        <f>TEXT('MYP Assumptions'!F72,"0.00%")&amp;", CPI"</f>
        <v>3.19%, CPI</v>
      </c>
      <c r="O79" s="1527" t="str">
        <f t="shared" si="45"/>
        <v>0.00%</v>
      </c>
      <c r="P79" s="2">
        <f t="shared" si="50"/>
        <v>0</v>
      </c>
      <c r="Q79" s="1240" t="str">
        <f>TEXT('MYP Assumptions'!G72,"0.00%")&amp;", CPI"</f>
        <v>2.86%, CPI</v>
      </c>
      <c r="S79" s="83" t="str">
        <f t="shared" si="46"/>
        <v>0.00%</v>
      </c>
      <c r="T79" s="2">
        <f t="shared" si="51"/>
        <v>0</v>
      </c>
      <c r="U79" s="81" t="str">
        <f>TEXT('MYP Assumptions'!H72,"0.00%")&amp;", CPI"</f>
        <v>2.73%, CPI</v>
      </c>
      <c r="W79" s="83" t="str">
        <f t="shared" si="47"/>
        <v>0.00%</v>
      </c>
      <c r="X79" s="2">
        <f t="shared" si="52"/>
        <v>0</v>
      </c>
      <c r="Y79" s="81" t="str">
        <f>TEXT('MYP Assumptions'!I72,"0.00%")&amp;", CPI"</f>
        <v>2.73%, CPI</v>
      </c>
      <c r="AA79" s="83" t="str">
        <f t="shared" si="48"/>
        <v>0.00%</v>
      </c>
      <c r="AB79" s="2">
        <f t="shared" si="53"/>
        <v>0</v>
      </c>
      <c r="AC79" s="81" t="str">
        <f>TEXT('MYP Assumptions'!J72,"0.00%")&amp;", CPI"</f>
        <v>2.73%, CPI</v>
      </c>
    </row>
    <row r="80" spans="1:29" hidden="1" x14ac:dyDescent="0.25">
      <c r="A80" s="153"/>
      <c r="B80" s="1326"/>
      <c r="D80" s="2">
        <v>0</v>
      </c>
      <c r="E80" s="1249"/>
      <c r="F80" s="2"/>
      <c r="G80" s="1527" t="str">
        <f>IF(D80=0,"0.00%",(H80-D80)/D80)</f>
        <v>0.00%</v>
      </c>
      <c r="H80" s="2">
        <f t="shared" si="54"/>
        <v>0</v>
      </c>
      <c r="I80" s="1240" t="str">
        <f>TEXT('MYP Assumptions'!E72,"0.00%")&amp;", CPI"</f>
        <v>3.11%, CPI</v>
      </c>
      <c r="J80" s="66"/>
      <c r="K80" s="1527" t="str">
        <f t="shared" si="44"/>
        <v>0.00%</v>
      </c>
      <c r="L80" s="2">
        <f t="shared" si="49"/>
        <v>0</v>
      </c>
      <c r="M80" s="1240" t="str">
        <f>TEXT('MYP Assumptions'!F72,"0.00%")&amp;", CPI"</f>
        <v>3.19%, CPI</v>
      </c>
      <c r="O80" s="1527" t="str">
        <f t="shared" si="45"/>
        <v>0.00%</v>
      </c>
      <c r="P80" s="2">
        <f t="shared" si="50"/>
        <v>0</v>
      </c>
      <c r="Q80" s="1240" t="str">
        <f>TEXT('MYP Assumptions'!G72,"0.00%")&amp;", CPI"</f>
        <v>2.86%, CPI</v>
      </c>
      <c r="S80" s="83" t="str">
        <f t="shared" si="46"/>
        <v>0.00%</v>
      </c>
      <c r="T80" s="2">
        <f t="shared" si="51"/>
        <v>0</v>
      </c>
      <c r="U80" s="81" t="str">
        <f>TEXT('MYP Assumptions'!H72,"0.00%")&amp;", CPI"</f>
        <v>2.73%, CPI</v>
      </c>
      <c r="W80" s="83" t="str">
        <f t="shared" si="47"/>
        <v>0.00%</v>
      </c>
      <c r="X80" s="2">
        <f t="shared" si="52"/>
        <v>0</v>
      </c>
      <c r="Y80" s="81" t="str">
        <f>TEXT('MYP Assumptions'!I72,"0.00%")&amp;", CPI"</f>
        <v>2.73%, CPI</v>
      </c>
      <c r="AA80" s="83" t="str">
        <f t="shared" si="48"/>
        <v>0.00%</v>
      </c>
      <c r="AB80" s="2">
        <f t="shared" si="53"/>
        <v>0</v>
      </c>
      <c r="AC80" s="81" t="str">
        <f>TEXT('MYP Assumptions'!J72,"0.00%")&amp;", CPI"</f>
        <v>2.73%, CPI</v>
      </c>
    </row>
    <row r="81" spans="1:29" hidden="1" x14ac:dyDescent="0.25">
      <c r="A81" s="153"/>
      <c r="B81" s="1326"/>
      <c r="D81" s="2">
        <v>0</v>
      </c>
      <c r="E81" s="1249"/>
      <c r="F81" s="2"/>
      <c r="G81" s="1527" t="str">
        <f t="shared" ref="G81:G87" si="55">IF(D81=0,"0.00%",(H81-D81)/D81)</f>
        <v>0.00%</v>
      </c>
      <c r="H81" s="2">
        <f t="shared" si="54"/>
        <v>0</v>
      </c>
      <c r="I81" s="1240" t="str">
        <f>TEXT('MYP Assumptions'!E72,"0.00%")&amp;", CPI"</f>
        <v>3.11%, CPI</v>
      </c>
      <c r="J81" s="66"/>
      <c r="K81" s="1527" t="str">
        <f t="shared" si="44"/>
        <v>0.00%</v>
      </c>
      <c r="L81" s="2">
        <f t="shared" si="49"/>
        <v>0</v>
      </c>
      <c r="M81" s="1240" t="str">
        <f>TEXT('MYP Assumptions'!F72,"0.00%")&amp;", CPI"</f>
        <v>3.19%, CPI</v>
      </c>
      <c r="O81" s="1527" t="str">
        <f t="shared" si="45"/>
        <v>0.00%</v>
      </c>
      <c r="P81" s="2">
        <f t="shared" si="50"/>
        <v>0</v>
      </c>
      <c r="Q81" s="1240" t="str">
        <f>TEXT('MYP Assumptions'!G72,"0.00%")&amp;", CPI"</f>
        <v>2.86%, CPI</v>
      </c>
      <c r="S81" s="83" t="str">
        <f t="shared" si="46"/>
        <v>0.00%</v>
      </c>
      <c r="T81" s="2">
        <f t="shared" si="51"/>
        <v>0</v>
      </c>
      <c r="U81" s="81" t="str">
        <f>TEXT('MYP Assumptions'!H72,"0.00%")&amp;", CPI"</f>
        <v>2.73%, CPI</v>
      </c>
      <c r="W81" s="83" t="str">
        <f t="shared" si="47"/>
        <v>0.00%</v>
      </c>
      <c r="X81" s="2">
        <f t="shared" si="52"/>
        <v>0</v>
      </c>
      <c r="Y81" s="81" t="str">
        <f>TEXT('MYP Assumptions'!I72,"0.00%")&amp;", CPI"</f>
        <v>2.73%, CPI</v>
      </c>
      <c r="AA81" s="83" t="str">
        <f t="shared" si="48"/>
        <v>0.00%</v>
      </c>
      <c r="AB81" s="2">
        <f t="shared" si="53"/>
        <v>0</v>
      </c>
      <c r="AC81" s="81" t="str">
        <f>TEXT('MYP Assumptions'!J72,"0.00%")&amp;", CPI"</f>
        <v>2.73%, CPI</v>
      </c>
    </row>
    <row r="82" spans="1:29" hidden="1" x14ac:dyDescent="0.25">
      <c r="A82" s="153"/>
      <c r="B82" s="1326"/>
      <c r="D82" s="2">
        <v>0</v>
      </c>
      <c r="E82" s="1249"/>
      <c r="F82" s="2"/>
      <c r="G82" s="1527" t="str">
        <f t="shared" si="55"/>
        <v>0.00%</v>
      </c>
      <c r="H82" s="2">
        <f>ROUND(D82*(LEFT(I82,5)+1),0)</f>
        <v>0</v>
      </c>
      <c r="I82" s="1240" t="str">
        <f>TEXT('MYP Assumptions'!E72,"0.00%")&amp;", CPI"</f>
        <v>3.11%, CPI</v>
      </c>
      <c r="J82" s="66"/>
      <c r="K82" s="1527" t="str">
        <f t="shared" si="44"/>
        <v>0.00%</v>
      </c>
      <c r="L82" s="2">
        <f t="shared" si="49"/>
        <v>0</v>
      </c>
      <c r="M82" s="1240" t="str">
        <f>TEXT('MYP Assumptions'!F72,"0.00%")&amp;", CPI"</f>
        <v>3.19%, CPI</v>
      </c>
      <c r="O82" s="1527" t="str">
        <f t="shared" si="45"/>
        <v>0.00%</v>
      </c>
      <c r="P82" s="2">
        <f t="shared" si="50"/>
        <v>0</v>
      </c>
      <c r="Q82" s="1240" t="str">
        <f>TEXT('MYP Assumptions'!G72,"0.00%")&amp;", CPI"</f>
        <v>2.86%, CPI</v>
      </c>
      <c r="S82" s="83" t="str">
        <f t="shared" si="46"/>
        <v>0.00%</v>
      </c>
      <c r="T82" s="2">
        <f t="shared" si="51"/>
        <v>0</v>
      </c>
      <c r="U82" s="81" t="str">
        <f>TEXT('MYP Assumptions'!H72,"0.00%")&amp;", CPI"</f>
        <v>2.73%, CPI</v>
      </c>
      <c r="W82" s="83" t="str">
        <f t="shared" si="47"/>
        <v>0.00%</v>
      </c>
      <c r="X82" s="2">
        <f t="shared" si="52"/>
        <v>0</v>
      </c>
      <c r="Y82" s="81" t="str">
        <f>TEXT('MYP Assumptions'!I72,"0.00%")&amp;", CPI"</f>
        <v>2.73%, CPI</v>
      </c>
      <c r="AA82" s="83" t="str">
        <f t="shared" si="48"/>
        <v>0.00%</v>
      </c>
      <c r="AB82" s="2">
        <f t="shared" si="53"/>
        <v>0</v>
      </c>
      <c r="AC82" s="81" t="str">
        <f>TEXT('MYP Assumptions'!J72,"0.00%")&amp;", CPI"</f>
        <v>2.73%, CPI</v>
      </c>
    </row>
    <row r="83" spans="1:29" hidden="1" x14ac:dyDescent="0.25">
      <c r="A83" s="153"/>
      <c r="B83" s="1326"/>
      <c r="D83" s="2">
        <v>0</v>
      </c>
      <c r="E83" s="1249"/>
      <c r="F83" s="2"/>
      <c r="G83" s="1527" t="str">
        <f t="shared" si="55"/>
        <v>0.00%</v>
      </c>
      <c r="H83" s="2">
        <f>ROUND(D83*(LEFT(I83,5)+1),0)</f>
        <v>0</v>
      </c>
      <c r="I83" s="1240" t="str">
        <f>TEXT('MYP Assumptions'!E72,"0.00%")&amp;", CPI"</f>
        <v>3.11%, CPI</v>
      </c>
      <c r="J83" s="66"/>
      <c r="K83" s="1527" t="str">
        <f t="shared" si="44"/>
        <v>0.00%</v>
      </c>
      <c r="L83" s="2">
        <f t="shared" si="49"/>
        <v>0</v>
      </c>
      <c r="M83" s="1240" t="str">
        <f>TEXT('MYP Assumptions'!F72,"0.00%")&amp;", CPI"</f>
        <v>3.19%, CPI</v>
      </c>
      <c r="O83" s="1527" t="str">
        <f t="shared" si="45"/>
        <v>0.00%</v>
      </c>
      <c r="P83" s="2">
        <f t="shared" si="50"/>
        <v>0</v>
      </c>
      <c r="Q83" s="1240" t="str">
        <f>TEXT('MYP Assumptions'!G72,"0.00%")&amp;", CPI"</f>
        <v>2.86%, CPI</v>
      </c>
      <c r="S83" s="83" t="str">
        <f t="shared" si="46"/>
        <v>0.00%</v>
      </c>
      <c r="T83" s="2">
        <f t="shared" si="51"/>
        <v>0</v>
      </c>
      <c r="U83" s="81" t="str">
        <f>TEXT('MYP Assumptions'!H72,"0.00%")&amp;", CPI"</f>
        <v>2.73%, CPI</v>
      </c>
      <c r="W83" s="83" t="str">
        <f t="shared" si="47"/>
        <v>0.00%</v>
      </c>
      <c r="X83" s="2">
        <f t="shared" si="52"/>
        <v>0</v>
      </c>
      <c r="Y83" s="81" t="str">
        <f>TEXT('MYP Assumptions'!I72,"0.00%")&amp;", CPI"</f>
        <v>2.73%, CPI</v>
      </c>
      <c r="AA83" s="83" t="str">
        <f t="shared" si="48"/>
        <v>0.00%</v>
      </c>
      <c r="AB83" s="2">
        <f t="shared" si="53"/>
        <v>0</v>
      </c>
      <c r="AC83" s="81" t="str">
        <f>TEXT('MYP Assumptions'!J72,"0.00%")&amp;", CPI"</f>
        <v>2.73%, CPI</v>
      </c>
    </row>
    <row r="84" spans="1:29" hidden="1" x14ac:dyDescent="0.25">
      <c r="A84" s="153"/>
      <c r="B84" s="1326"/>
      <c r="D84" s="2">
        <v>0</v>
      </c>
      <c r="E84" s="1249"/>
      <c r="F84" s="2"/>
      <c r="G84" s="1527" t="str">
        <f t="shared" si="55"/>
        <v>0.00%</v>
      </c>
      <c r="H84" s="2">
        <f>ROUND(D84*(LEFT(I84,5)+1),0)</f>
        <v>0</v>
      </c>
      <c r="I84" s="1240" t="str">
        <f>TEXT('MYP Assumptions'!E72,"0.00%")&amp;", CPI"</f>
        <v>3.11%, CPI</v>
      </c>
      <c r="J84" s="66"/>
      <c r="K84" s="1527" t="str">
        <f t="shared" si="44"/>
        <v>0.00%</v>
      </c>
      <c r="L84" s="2">
        <f t="shared" si="49"/>
        <v>0</v>
      </c>
      <c r="M84" s="1240" t="str">
        <f>TEXT('MYP Assumptions'!F72,"0.00%")&amp;", CPI"</f>
        <v>3.19%, CPI</v>
      </c>
      <c r="O84" s="1527" t="str">
        <f t="shared" si="45"/>
        <v>0.00%</v>
      </c>
      <c r="P84" s="2">
        <f t="shared" si="50"/>
        <v>0</v>
      </c>
      <c r="Q84" s="1240" t="str">
        <f>TEXT('MYP Assumptions'!G72,"0.00%")&amp;", CPI"</f>
        <v>2.86%, CPI</v>
      </c>
      <c r="S84" s="83" t="str">
        <f t="shared" si="46"/>
        <v>0.00%</v>
      </c>
      <c r="T84" s="2">
        <f t="shared" si="51"/>
        <v>0</v>
      </c>
      <c r="U84" s="81" t="str">
        <f>TEXT('MYP Assumptions'!H72,"0.00%")&amp;", CPI"</f>
        <v>2.73%, CPI</v>
      </c>
      <c r="W84" s="83" t="str">
        <f t="shared" si="47"/>
        <v>0.00%</v>
      </c>
      <c r="X84" s="2">
        <f t="shared" si="52"/>
        <v>0</v>
      </c>
      <c r="Y84" s="81" t="str">
        <f>TEXT('MYP Assumptions'!I72,"0.00%")&amp;", CPI"</f>
        <v>2.73%, CPI</v>
      </c>
      <c r="AA84" s="83" t="str">
        <f t="shared" si="48"/>
        <v>0.00%</v>
      </c>
      <c r="AB84" s="2">
        <f t="shared" si="53"/>
        <v>0</v>
      </c>
      <c r="AC84" s="81" t="str">
        <f>TEXT('MYP Assumptions'!J72,"0.00%")&amp;", CPI"</f>
        <v>2.73%, CPI</v>
      </c>
    </row>
    <row r="85" spans="1:29" hidden="1" x14ac:dyDescent="0.25">
      <c r="A85" s="153"/>
      <c r="B85" s="1326"/>
      <c r="D85" s="2">
        <v>0</v>
      </c>
      <c r="E85" s="1249"/>
      <c r="F85" s="2"/>
      <c r="G85" s="1527" t="str">
        <f t="shared" si="55"/>
        <v>0.00%</v>
      </c>
      <c r="H85" s="2">
        <f>ROUND(D85*(LEFT(I85,5)+1),0)</f>
        <v>0</v>
      </c>
      <c r="I85" s="1240" t="str">
        <f>TEXT('MYP Assumptions'!E72,"0.00%")&amp;", CPI"</f>
        <v>3.11%, CPI</v>
      </c>
      <c r="J85" s="66"/>
      <c r="K85" s="1527" t="str">
        <f t="shared" si="44"/>
        <v>0.00%</v>
      </c>
      <c r="L85" s="2">
        <f t="shared" si="49"/>
        <v>0</v>
      </c>
      <c r="M85" s="1240" t="str">
        <f>TEXT('MYP Assumptions'!F72,"0.00%")&amp;", CPI"</f>
        <v>3.19%, CPI</v>
      </c>
      <c r="O85" s="1527" t="str">
        <f t="shared" si="45"/>
        <v>0.00%</v>
      </c>
      <c r="P85" s="2">
        <f t="shared" si="50"/>
        <v>0</v>
      </c>
      <c r="Q85" s="1240" t="str">
        <f>TEXT('MYP Assumptions'!G72,"0.00%")&amp;", CPI"</f>
        <v>2.86%, CPI</v>
      </c>
      <c r="S85" s="83" t="str">
        <f t="shared" si="46"/>
        <v>0.00%</v>
      </c>
      <c r="T85" s="2">
        <f t="shared" si="51"/>
        <v>0</v>
      </c>
      <c r="U85" s="81" t="str">
        <f>TEXT('MYP Assumptions'!H72,"0.00%")&amp;", CPI"</f>
        <v>2.73%, CPI</v>
      </c>
      <c r="W85" s="83" t="str">
        <f t="shared" si="47"/>
        <v>0.00%</v>
      </c>
      <c r="X85" s="2">
        <f t="shared" si="52"/>
        <v>0</v>
      </c>
      <c r="Y85" s="81" t="str">
        <f>TEXT('MYP Assumptions'!I72,"0.00%")&amp;", CPI"</f>
        <v>2.73%, CPI</v>
      </c>
      <c r="AA85" s="83" t="str">
        <f t="shared" si="48"/>
        <v>0.00%</v>
      </c>
      <c r="AB85" s="2">
        <f t="shared" si="53"/>
        <v>0</v>
      </c>
      <c r="AC85" s="81" t="str">
        <f>TEXT('MYP Assumptions'!J72,"0.00%")&amp;", CPI"</f>
        <v>2.73%, CPI</v>
      </c>
    </row>
    <row r="86" spans="1:29" hidden="1" x14ac:dyDescent="0.25">
      <c r="A86" s="153"/>
      <c r="B86" s="1326"/>
      <c r="D86" s="2">
        <f>'RS 3010-ALL'!AF80</f>
        <v>0</v>
      </c>
      <c r="E86" s="1249"/>
      <c r="F86" s="2"/>
      <c r="G86" s="1527" t="str">
        <f t="shared" si="55"/>
        <v>0.00%</v>
      </c>
      <c r="H86" s="2">
        <f>ROUND(D86*(LEFT(I86,5)+1),0)</f>
        <v>0</v>
      </c>
      <c r="I86" s="1240" t="str">
        <f>TEXT('MYP Assumptions'!E72,"0.00%")&amp;", CPI"</f>
        <v>3.11%, CPI</v>
      </c>
      <c r="J86" s="66"/>
      <c r="K86" s="1527" t="str">
        <f t="shared" si="44"/>
        <v>0.00%</v>
      </c>
      <c r="L86" s="2">
        <f t="shared" si="49"/>
        <v>0</v>
      </c>
      <c r="M86" s="1240" t="str">
        <f>TEXT('MYP Assumptions'!F72,"0.00%")&amp;", CPI"</f>
        <v>3.19%, CPI</v>
      </c>
      <c r="O86" s="1527" t="str">
        <f t="shared" si="45"/>
        <v>0.00%</v>
      </c>
      <c r="P86" s="2">
        <f t="shared" si="50"/>
        <v>0</v>
      </c>
      <c r="Q86" s="1240" t="str">
        <f>TEXT('MYP Assumptions'!G72,"0.00%")&amp;", CPI"</f>
        <v>2.86%, CPI</v>
      </c>
      <c r="S86" s="83" t="str">
        <f t="shared" si="46"/>
        <v>0.00%</v>
      </c>
      <c r="T86" s="2">
        <f t="shared" si="51"/>
        <v>0</v>
      </c>
      <c r="U86" s="81" t="str">
        <f>TEXT('MYP Assumptions'!H72,"0.00%")&amp;", CPI"</f>
        <v>2.73%, CPI</v>
      </c>
      <c r="W86" s="83" t="str">
        <f t="shared" si="47"/>
        <v>0.00%</v>
      </c>
      <c r="X86" s="2">
        <f t="shared" si="52"/>
        <v>0</v>
      </c>
      <c r="Y86" s="81" t="str">
        <f>TEXT('MYP Assumptions'!I72,"0.00%")&amp;", CPI"</f>
        <v>2.73%, CPI</v>
      </c>
      <c r="AA86" s="83" t="str">
        <f t="shared" si="48"/>
        <v>0.00%</v>
      </c>
      <c r="AB86" s="2">
        <f t="shared" si="53"/>
        <v>0</v>
      </c>
      <c r="AC86" s="81" t="str">
        <f>TEXT('MYP Assumptions'!J72,"0.00%")&amp;", CPI"</f>
        <v>2.73%, CPI</v>
      </c>
    </row>
    <row r="87" spans="1:29" x14ac:dyDescent="0.25">
      <c r="A87" s="154"/>
      <c r="D87" s="8">
        <f>SUM(D74:D86)</f>
        <v>2000</v>
      </c>
      <c r="E87" s="1249"/>
      <c r="F87" s="2"/>
      <c r="G87" s="1527">
        <f t="shared" si="55"/>
        <v>0</v>
      </c>
      <c r="H87" s="8">
        <f>SUM(H74:H86)</f>
        <v>2000</v>
      </c>
      <c r="I87" s="1882">
        <f>+H87-D87</f>
        <v>0</v>
      </c>
      <c r="J87" s="29"/>
      <c r="K87" s="1527">
        <f t="shared" si="44"/>
        <v>-0.5</v>
      </c>
      <c r="L87" s="8">
        <f>SUM(L74:L86)</f>
        <v>1000</v>
      </c>
      <c r="M87" s="1882">
        <f>+L87-H87</f>
        <v>-1000</v>
      </c>
      <c r="O87" s="1527">
        <f t="shared" si="45"/>
        <v>0</v>
      </c>
      <c r="P87" s="8">
        <f>SUM(P74:P86)</f>
        <v>1000</v>
      </c>
      <c r="Q87" s="1882">
        <f>+P87-L87</f>
        <v>0</v>
      </c>
      <c r="S87" s="83">
        <f t="shared" si="46"/>
        <v>2.7E-2</v>
      </c>
      <c r="T87" s="8">
        <f>SUM(T74:T86)</f>
        <v>1027</v>
      </c>
      <c r="U87" s="73"/>
      <c r="W87" s="83">
        <f t="shared" si="47"/>
        <v>2.7263875365141188E-2</v>
      </c>
      <c r="X87" s="8">
        <f>SUM(X74:X86)</f>
        <v>1055</v>
      </c>
      <c r="Y87" s="73"/>
      <c r="AA87" s="83">
        <f t="shared" si="48"/>
        <v>2.7488151658767772E-2</v>
      </c>
      <c r="AB87" s="8">
        <f>SUM(AB74:AB86)</f>
        <v>1084</v>
      </c>
      <c r="AC87" s="73"/>
    </row>
    <row r="88" spans="1:29" x14ac:dyDescent="0.25">
      <c r="A88" s="153"/>
      <c r="B88" s="1323"/>
      <c r="E88" s="1249"/>
      <c r="F88" s="2"/>
      <c r="G88" s="1527"/>
      <c r="H88" s="2"/>
      <c r="I88" s="1257"/>
      <c r="J88" s="66"/>
      <c r="L88" s="2"/>
      <c r="M88" s="1335"/>
      <c r="Q88" s="1335"/>
      <c r="T88" s="2"/>
      <c r="U88" s="73"/>
      <c r="X88" s="2"/>
      <c r="Y88" s="73"/>
      <c r="AB88" s="2"/>
      <c r="AC88" s="73"/>
    </row>
    <row r="89" spans="1:29" x14ac:dyDescent="0.25">
      <c r="A89" s="153"/>
      <c r="E89" s="1249"/>
      <c r="F89" s="2"/>
      <c r="H89" s="2"/>
      <c r="I89" s="1257"/>
      <c r="J89" s="66"/>
      <c r="L89" s="2"/>
      <c r="M89" s="1335"/>
      <c r="Q89" s="1335"/>
      <c r="T89" s="2"/>
      <c r="U89" s="73"/>
      <c r="X89" s="2"/>
      <c r="Y89" s="73"/>
      <c r="AB89" s="2"/>
      <c r="AC89" s="73"/>
    </row>
    <row r="90" spans="1:29" x14ac:dyDescent="0.25">
      <c r="A90" s="154"/>
      <c r="B90" s="1323" t="s">
        <v>0</v>
      </c>
      <c r="D90" s="8">
        <f>SUM(D87,D71,D57,D13)</f>
        <v>34276</v>
      </c>
      <c r="E90" s="1249"/>
      <c r="F90" s="2"/>
      <c r="G90" s="1527">
        <f>IF(D90=0,"0.00%",(H90-D90)/D90)</f>
        <v>-0.48567510794725172</v>
      </c>
      <c r="H90" s="8">
        <f>SUM(H87,H71,H57,H13)</f>
        <v>17629</v>
      </c>
      <c r="I90" s="1882">
        <f>+H90-D90</f>
        <v>-16647</v>
      </c>
      <c r="J90" s="29"/>
      <c r="K90" s="1527">
        <f>IF(H90=0,"0.00%",(L90-H90)/H90)</f>
        <v>-0.21022179363548699</v>
      </c>
      <c r="L90" s="8">
        <f>SUM(L87,L71,L57,L13)</f>
        <v>13923</v>
      </c>
      <c r="M90" s="1882">
        <f>+L90-H90</f>
        <v>-3706</v>
      </c>
      <c r="O90" s="1527">
        <f>IF(L90=0,"0.00%",(P90-L90)/L90)</f>
        <v>1.185089420383538E-2</v>
      </c>
      <c r="P90" s="8">
        <f>SUM(P87,P71,P57,P13)</f>
        <v>14088</v>
      </c>
      <c r="Q90" s="1882">
        <f>+P90-L90</f>
        <v>165</v>
      </c>
      <c r="S90" s="83">
        <f>IF(P90=0,"0.00%",(T90-P90)/P90)</f>
        <v>2.8392958546280524E-2</v>
      </c>
      <c r="T90" s="8">
        <f>SUM(T87,T71,T57,T13)</f>
        <v>14488</v>
      </c>
      <c r="U90" s="73"/>
      <c r="W90" s="83">
        <f>IF(T90=0,"0.00%",(X90-T90)/T90)</f>
        <v>2.2156267255659855E-2</v>
      </c>
      <c r="X90" s="8">
        <f>SUM(X87,X71,X57,X13)</f>
        <v>14809</v>
      </c>
      <c r="Y90" s="73"/>
      <c r="AA90" s="83">
        <f>IF(X90=0,"0.00%",(AB90-X90)/X90)</f>
        <v>2.2216219866297522E-2</v>
      </c>
      <c r="AB90" s="8">
        <f>SUM(AB87,AB71,AB57,AB13)</f>
        <v>15138</v>
      </c>
      <c r="AC90" s="73"/>
    </row>
    <row r="91" spans="1:29" x14ac:dyDescent="0.25">
      <c r="A91" s="153"/>
      <c r="E91" s="1249"/>
      <c r="F91" s="2"/>
      <c r="H91" s="2"/>
      <c r="I91" s="1257"/>
      <c r="J91" s="66"/>
      <c r="L91" s="2"/>
      <c r="M91" s="1335"/>
      <c r="Q91" s="1335"/>
      <c r="T91" s="2"/>
      <c r="U91" s="73"/>
      <c r="X91" s="2"/>
      <c r="Y91" s="73"/>
      <c r="AB91" s="2"/>
      <c r="AC91" s="73"/>
    </row>
    <row r="92" spans="1:29" x14ac:dyDescent="0.25">
      <c r="A92" s="153"/>
      <c r="B92" s="1323" t="s">
        <v>138</v>
      </c>
      <c r="D92" s="3">
        <f>D11-D90</f>
        <v>-12360.740000000002</v>
      </c>
      <c r="G92" s="1527">
        <f>IF(D92=0,"0.00%",(H92-D92)/D92)</f>
        <v>-0.97087553010580274</v>
      </c>
      <c r="H92" s="3">
        <f>H11-H90</f>
        <v>-360</v>
      </c>
      <c r="I92" s="1257"/>
      <c r="J92" s="66"/>
      <c r="K92" s="1527">
        <f>IF(H92=0,"0.00%",(L92-H92)/H92)</f>
        <v>-10.294444444444444</v>
      </c>
      <c r="L92" s="3">
        <f>L11-L90</f>
        <v>3346</v>
      </c>
      <c r="M92" s="1335"/>
      <c r="O92" s="1527">
        <f>IF(L92=0,"0.00%",(P92-L92)/L92)</f>
        <v>-4.9312612074118349E-2</v>
      </c>
      <c r="P92" s="3">
        <f>P11-P90</f>
        <v>3181</v>
      </c>
      <c r="Q92" s="1335"/>
      <c r="S92" s="83">
        <f>IF(P92=0,"0.00%",(T92-P92)/P92)</f>
        <v>-5.5545425966677149</v>
      </c>
      <c r="T92" s="3">
        <f>T11-T90</f>
        <v>-14488</v>
      </c>
      <c r="U92" s="73"/>
      <c r="W92" s="83">
        <f>IF(T92=0,"0.00%",(X92-T92)/T92)</f>
        <v>2.2156267255659855E-2</v>
      </c>
      <c r="X92" s="3">
        <f>X11-X90</f>
        <v>-14809</v>
      </c>
      <c r="Y92" s="73"/>
      <c r="AA92" s="83">
        <f>IF(X92=0,"0.00%",(AB92-X92)/X92)</f>
        <v>2.2216219866297522E-2</v>
      </c>
      <c r="AB92" s="3">
        <f>AB11-AB90</f>
        <v>-15138</v>
      </c>
      <c r="AC92" s="73"/>
    </row>
    <row r="93" spans="1:29" x14ac:dyDescent="0.25">
      <c r="B93" s="1323"/>
      <c r="C93" s="1317"/>
      <c r="D93" s="3"/>
      <c r="H93" s="3"/>
      <c r="I93" s="1257"/>
      <c r="J93" s="66"/>
      <c r="L93" s="3"/>
      <c r="M93" s="1335"/>
      <c r="P93" s="3"/>
      <c r="Q93" s="1335"/>
      <c r="T93" s="44"/>
      <c r="U93" s="73"/>
      <c r="X93" s="44"/>
      <c r="Y93" s="73"/>
      <c r="AB93" s="44"/>
      <c r="AC93" s="73"/>
    </row>
    <row r="94" spans="1:29" x14ac:dyDescent="0.25">
      <c r="B94" s="1323" t="s">
        <v>136</v>
      </c>
      <c r="C94" s="1319"/>
      <c r="D94" s="3">
        <f>D7+D92</f>
        <v>0</v>
      </c>
      <c r="G94" s="1527" t="str">
        <f>IF(D94=0,"0.00%",(H94-D94)/D94)</f>
        <v>0.00%</v>
      </c>
      <c r="H94" s="3">
        <f>H7+H92</f>
        <v>-360</v>
      </c>
      <c r="I94" s="1882">
        <f>+H94-D94</f>
        <v>-360</v>
      </c>
      <c r="J94" s="66"/>
      <c r="K94" s="1527">
        <f>IF(H94=0,"0.00%",(L94-H94)/H94)</f>
        <v>-9.2944444444444443</v>
      </c>
      <c r="L94" s="3">
        <f>L7+L92</f>
        <v>2986</v>
      </c>
      <c r="M94" s="1882">
        <f>+L94-H94</f>
        <v>3346</v>
      </c>
      <c r="O94" s="1527">
        <f>IF(L94=0,"0.00%",(P94-L94)/L94)</f>
        <v>1.0653047555257871</v>
      </c>
      <c r="P94" s="3">
        <f>P7+P92</f>
        <v>6167</v>
      </c>
      <c r="Q94" s="1882">
        <f>+P94-L94</f>
        <v>3181</v>
      </c>
      <c r="S94" s="83">
        <f>IF(P94=0,"0.00%",(T94-P94)/P94)</f>
        <v>-2.3492784173828443</v>
      </c>
      <c r="T94" s="49">
        <f>T7+T92</f>
        <v>-8321</v>
      </c>
      <c r="U94" s="73"/>
      <c r="W94" s="83">
        <f>IF(T94=0,"0.00%",(X94-T94)/T94)</f>
        <v>1.7797139766854946</v>
      </c>
      <c r="X94" s="49">
        <f>X7+X92</f>
        <v>-23130</v>
      </c>
      <c r="Y94" s="73"/>
      <c r="AA94" s="83">
        <f>IF(X94=0,"0.00%",(AB94-X94)/X94)</f>
        <v>0.65447470817120623</v>
      </c>
      <c r="AB94" s="49">
        <f>AB7+AB92</f>
        <v>-38268</v>
      </c>
      <c r="AC94" s="73"/>
    </row>
    <row r="95" spans="1:29" x14ac:dyDescent="0.25">
      <c r="C95" s="1259"/>
      <c r="G95" s="1540"/>
      <c r="H95" s="5"/>
      <c r="I95" s="1258"/>
      <c r="J95" s="29"/>
      <c r="L95" s="5"/>
      <c r="M95" s="1335"/>
      <c r="P95" s="5"/>
      <c r="Q95" s="1335"/>
      <c r="T95" s="5"/>
      <c r="U95" s="73"/>
      <c r="X95" s="5"/>
      <c r="Y95" s="73"/>
      <c r="AB95" s="5"/>
      <c r="AC95" s="73"/>
    </row>
    <row r="96" spans="1:29" x14ac:dyDescent="0.25">
      <c r="C96" s="1254"/>
      <c r="G96" s="1540"/>
      <c r="H96" s="36"/>
      <c r="I96" s="1257"/>
      <c r="J96" s="66"/>
      <c r="L96" s="2"/>
      <c r="M96" s="1335"/>
      <c r="Q96" s="1335"/>
      <c r="T96" s="2"/>
      <c r="U96" s="73"/>
      <c r="X96" s="2"/>
      <c r="Y96" s="73"/>
      <c r="AB96" s="2"/>
      <c r="AC96" s="73"/>
    </row>
    <row r="97" spans="1:29" x14ac:dyDescent="0.25">
      <c r="C97" s="1254"/>
      <c r="G97" s="1540"/>
      <c r="H97" s="36"/>
      <c r="I97" s="1257"/>
      <c r="J97" s="66"/>
      <c r="L97" s="2"/>
      <c r="M97" s="1335"/>
      <c r="Q97" s="1335"/>
      <c r="T97" s="2"/>
      <c r="U97" s="73"/>
      <c r="X97" s="2"/>
      <c r="Y97" s="73"/>
      <c r="AB97" s="2"/>
      <c r="AC97" s="73"/>
    </row>
    <row r="98" spans="1:29" x14ac:dyDescent="0.25">
      <c r="C98" s="1254"/>
      <c r="G98" s="1540"/>
      <c r="H98" s="36"/>
      <c r="I98" s="1257"/>
      <c r="J98" s="66"/>
      <c r="L98" s="2"/>
      <c r="M98" s="1335"/>
      <c r="Q98" s="1335"/>
      <c r="T98" s="2"/>
      <c r="U98" s="73"/>
      <c r="X98" s="2"/>
      <c r="Y98" s="73"/>
      <c r="AB98" s="2"/>
      <c r="AC98" s="73"/>
    </row>
    <row r="99" spans="1:29" x14ac:dyDescent="0.25">
      <c r="C99" s="1254"/>
      <c r="G99" s="1540"/>
      <c r="H99" s="36"/>
      <c r="I99" s="1257"/>
      <c r="J99" s="66"/>
      <c r="L99" s="2"/>
      <c r="M99" s="1335"/>
      <c r="Q99" s="1335"/>
      <c r="T99" s="2"/>
      <c r="U99" s="73"/>
      <c r="X99" s="2"/>
      <c r="Y99" s="73"/>
      <c r="AB99" s="2"/>
      <c r="AC99" s="73"/>
    </row>
    <row r="100" spans="1:29" s="138" customFormat="1" ht="11.25" x14ac:dyDescent="0.2">
      <c r="A100" s="157"/>
      <c r="B100" s="1329"/>
      <c r="C100" s="1330" t="s">
        <v>226</v>
      </c>
      <c r="D100" s="135">
        <f>+D87+D71+D55+D43+D32</f>
        <v>34276</v>
      </c>
      <c r="E100" s="1251"/>
      <c r="G100" s="1541" t="s">
        <v>226</v>
      </c>
      <c r="H100" s="135">
        <f>+H87+H71+H55+H43+H32</f>
        <v>17629</v>
      </c>
      <c r="I100" s="1260"/>
      <c r="J100" s="136"/>
      <c r="K100" s="1541" t="s">
        <v>226</v>
      </c>
      <c r="L100" s="135">
        <f>+L87+L71+L55+L43+L32</f>
        <v>13923</v>
      </c>
      <c r="M100" s="1338"/>
      <c r="O100" s="1541" t="s">
        <v>226</v>
      </c>
      <c r="P100" s="135">
        <f>+P87+P71+P55+P43+P32</f>
        <v>14088</v>
      </c>
      <c r="Q100" s="1338"/>
      <c r="R100" s="140"/>
      <c r="S100" s="134" t="s">
        <v>226</v>
      </c>
      <c r="T100" s="135">
        <f>+T87+T71+T55+T43+T32</f>
        <v>14488</v>
      </c>
      <c r="U100" s="139"/>
      <c r="W100" s="134" t="s">
        <v>226</v>
      </c>
      <c r="X100" s="135">
        <f>+X87+X71+X55+X43+X32</f>
        <v>14809</v>
      </c>
      <c r="Y100" s="139"/>
      <c r="AA100" s="134" t="s">
        <v>226</v>
      </c>
      <c r="AB100" s="135">
        <f>+AB87+AB71+AB55+AB43+AB32</f>
        <v>15138</v>
      </c>
      <c r="AC100" s="139"/>
    </row>
    <row r="101" spans="1:29" s="138" customFormat="1" ht="11.25" x14ac:dyDescent="0.2">
      <c r="A101" s="159"/>
      <c r="B101" s="1329"/>
      <c r="C101" s="1331" t="s">
        <v>227</v>
      </c>
      <c r="D101" s="143">
        <f>+D13</f>
        <v>0</v>
      </c>
      <c r="E101" s="1252"/>
      <c r="F101" s="145"/>
      <c r="G101" s="1546" t="s">
        <v>227</v>
      </c>
      <c r="H101" s="143">
        <f>+H13</f>
        <v>0</v>
      </c>
      <c r="I101" s="1261"/>
      <c r="J101" s="144"/>
      <c r="K101" s="1546" t="s">
        <v>227</v>
      </c>
      <c r="L101" s="143">
        <f>+L13</f>
        <v>0</v>
      </c>
      <c r="M101" s="1338"/>
      <c r="O101" s="1546" t="s">
        <v>227</v>
      </c>
      <c r="P101" s="143">
        <f>+P13</f>
        <v>0</v>
      </c>
      <c r="Q101" s="1251"/>
      <c r="R101" s="140"/>
      <c r="S101" s="142" t="s">
        <v>227</v>
      </c>
      <c r="T101" s="143">
        <f>+T13</f>
        <v>0</v>
      </c>
      <c r="W101" s="142" t="s">
        <v>227</v>
      </c>
      <c r="X101" s="143">
        <f>+X13</f>
        <v>0</v>
      </c>
      <c r="AA101" s="142" t="s">
        <v>227</v>
      </c>
      <c r="AB101" s="143">
        <f>+AB13</f>
        <v>0</v>
      </c>
    </row>
    <row r="102" spans="1:29" s="138" customFormat="1" ht="11.25" x14ac:dyDescent="0.2">
      <c r="A102" s="159"/>
      <c r="B102" s="1329"/>
      <c r="C102" s="1331"/>
      <c r="D102" s="146">
        <f>+D100+D101</f>
        <v>34276</v>
      </c>
      <c r="E102" s="1252"/>
      <c r="F102" s="145"/>
      <c r="G102" s="1546"/>
      <c r="H102" s="146">
        <f>+H100+H101</f>
        <v>17629</v>
      </c>
      <c r="I102" s="1261"/>
      <c r="J102" s="144"/>
      <c r="K102" s="1546"/>
      <c r="L102" s="146">
        <f>+L100+L101</f>
        <v>13923</v>
      </c>
      <c r="M102" s="1251"/>
      <c r="O102" s="1546"/>
      <c r="P102" s="146">
        <f>+P100+P101</f>
        <v>14088</v>
      </c>
      <c r="Q102" s="1251"/>
      <c r="R102" s="140"/>
      <c r="S102" s="142"/>
      <c r="T102" s="146">
        <f>+T100+T101</f>
        <v>14488</v>
      </c>
      <c r="W102" s="142"/>
      <c r="X102" s="146">
        <f>+X100+X101</f>
        <v>14809</v>
      </c>
      <c r="AA102" s="142"/>
      <c r="AB102" s="146">
        <f>+AB100+AB101</f>
        <v>15138</v>
      </c>
    </row>
    <row r="103" spans="1:29" ht="15" customHeight="1" x14ac:dyDescent="0.25">
      <c r="A103" s="153"/>
      <c r="B103" s="1332"/>
      <c r="C103" s="1332"/>
      <c r="D103" s="5">
        <f>+D90-D102</f>
        <v>0</v>
      </c>
      <c r="E103" s="1249"/>
      <c r="F103" s="2"/>
      <c r="G103" s="1543"/>
      <c r="H103" s="5">
        <f>+H90-H102</f>
        <v>0</v>
      </c>
      <c r="K103" s="1543"/>
      <c r="L103" s="5">
        <f>+L90-L102</f>
        <v>0</v>
      </c>
      <c r="O103" s="1543"/>
      <c r="P103" s="5">
        <f>+P90-P102</f>
        <v>0</v>
      </c>
      <c r="S103" s="103"/>
      <c r="T103" s="5">
        <f>+T90-T102</f>
        <v>0</v>
      </c>
      <c r="W103" s="103"/>
      <c r="X103" s="5">
        <f>+X90-X102</f>
        <v>0</v>
      </c>
      <c r="AA103" s="103"/>
      <c r="AB103" s="5">
        <f>+AB90-AB102</f>
        <v>0</v>
      </c>
    </row>
    <row r="104" spans="1:29" x14ac:dyDescent="0.25">
      <c r="A104" s="153"/>
      <c r="B104" s="1332"/>
      <c r="C104" s="1332"/>
      <c r="D104" s="36"/>
      <c r="E104" s="1249"/>
      <c r="F104" s="2"/>
    </row>
    <row r="105" spans="1:29" x14ac:dyDescent="0.25">
      <c r="A105" s="153"/>
      <c r="B105" s="1319"/>
      <c r="C105" s="1254"/>
      <c r="D105" s="25"/>
      <c r="E105" s="1249"/>
      <c r="F105" s="2"/>
    </row>
    <row r="106" spans="1:29" x14ac:dyDescent="0.25">
      <c r="B106" s="1319"/>
      <c r="C106" s="1254"/>
      <c r="D106" s="36"/>
    </row>
    <row r="107" spans="1:29" x14ac:dyDescent="0.25">
      <c r="B107" s="1319"/>
      <c r="C107" s="1254"/>
      <c r="D107" s="36"/>
    </row>
    <row r="108" spans="1:29" ht="15" customHeight="1" x14ac:dyDescent="0.25">
      <c r="B108" s="1319"/>
      <c r="C108" s="1254"/>
      <c r="D108" s="36"/>
    </row>
    <row r="109" spans="1:29" x14ac:dyDescent="0.25">
      <c r="B109" s="1319"/>
      <c r="C109" s="1254"/>
      <c r="D109" s="36"/>
    </row>
    <row r="110" spans="1:29" x14ac:dyDescent="0.25">
      <c r="B110" s="1319"/>
      <c r="C110" s="1254"/>
      <c r="D110" s="36"/>
    </row>
    <row r="111" spans="1:29" ht="15" customHeight="1" x14ac:dyDescent="0.25">
      <c r="B111" s="2151"/>
      <c r="C111" s="2151"/>
      <c r="D111" s="36"/>
    </row>
    <row r="112" spans="1:29" x14ac:dyDescent="0.25">
      <c r="B112" s="2151"/>
      <c r="C112" s="2151"/>
      <c r="D112" s="36"/>
    </row>
    <row r="113" spans="2:4" x14ac:dyDescent="0.25">
      <c r="B113" s="1319"/>
      <c r="C113" s="1254"/>
      <c r="D113" s="6"/>
    </row>
    <row r="114" spans="2:4" x14ac:dyDescent="0.25">
      <c r="B114" s="1319"/>
      <c r="C114" s="1254"/>
      <c r="D114" s="36"/>
    </row>
    <row r="115" spans="2:4" x14ac:dyDescent="0.25">
      <c r="B115" s="1319"/>
      <c r="C115" s="1254"/>
      <c r="D115" s="36"/>
    </row>
    <row r="116" spans="2:4" ht="28.5" customHeight="1" x14ac:dyDescent="0.25">
      <c r="B116" s="1319"/>
      <c r="C116" s="1254"/>
      <c r="D116" s="25"/>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row r="127" spans="2:4" x14ac:dyDescent="0.25">
      <c r="B127" s="1319"/>
      <c r="C127" s="1254"/>
      <c r="D127" s="36"/>
    </row>
    <row r="128" spans="2:4" x14ac:dyDescent="0.25">
      <c r="B128" s="1319"/>
      <c r="C128" s="1254"/>
      <c r="D128" s="36"/>
    </row>
    <row r="129" spans="2:4" x14ac:dyDescent="0.25">
      <c r="B129" s="1319"/>
      <c r="C129" s="1254"/>
      <c r="D129" s="36"/>
    </row>
    <row r="130" spans="2:4" x14ac:dyDescent="0.25">
      <c r="B130" s="1319"/>
      <c r="C130" s="1254"/>
      <c r="D130" s="36"/>
    </row>
    <row r="131" spans="2:4" x14ac:dyDescent="0.25">
      <c r="B131" s="1319"/>
      <c r="C131" s="1254"/>
      <c r="D131" s="36"/>
    </row>
  </sheetData>
  <mergeCells count="1">
    <mergeCell ref="B111:C112"/>
  </mergeCells>
  <pageMargins left="0.25" right="0.25" top="0.5" bottom="0.5" header="0.25" footer="0.25"/>
  <pageSetup paperSize="5" scale="42" orientation="portrait" r:id="rId1"/>
  <headerFooter>
    <oddHeader>&amp;L&amp;F</oddHead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1"/>
  <sheetViews>
    <sheetView zoomScaleNormal="100" workbookViewId="0">
      <pane xSplit="3" ySplit="6" topLeftCell="D43"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24.85546875" style="1243" customWidth="1"/>
    <col min="4" max="4" width="16" style="2" customWidth="1"/>
    <col min="5" max="5" width="17.7109375" style="1243" customWidth="1"/>
    <col min="6" max="6" width="6" style="39" customWidth="1"/>
    <col min="7" max="7" width="10.7109375" style="1399" customWidth="1"/>
    <col min="8" max="8" width="13.85546875" style="123" bestFit="1" customWidth="1"/>
    <col min="9" max="9" width="26" style="1254" bestFit="1" customWidth="1"/>
    <col min="10" max="10" width="5.7109375" style="59" customWidth="1"/>
    <col min="11" max="11" width="9.85546875" style="1550" customWidth="1"/>
    <col min="12" max="12" width="14" style="124" bestFit="1" customWidth="1"/>
    <col min="13" max="13" width="26" style="1243" customWidth="1"/>
    <col min="14" max="14" width="5.7109375" style="39" customWidth="1"/>
    <col min="15" max="15" width="9.42578125" style="1550" bestFit="1" customWidth="1"/>
    <col min="16" max="16" width="14.28515625"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413</v>
      </c>
      <c r="D1" s="97">
        <v>0</v>
      </c>
      <c r="E1" s="1241"/>
      <c r="F1" s="98"/>
      <c r="G1" s="75"/>
      <c r="H1" s="99">
        <v>0</v>
      </c>
      <c r="I1" s="1241"/>
      <c r="L1" s="123">
        <v>0</v>
      </c>
      <c r="M1" s="1241"/>
      <c r="P1" s="123">
        <v>0</v>
      </c>
      <c r="Q1" s="1241"/>
      <c r="T1" s="86">
        <v>0</v>
      </c>
      <c r="U1" s="98"/>
      <c r="X1" s="86">
        <v>0</v>
      </c>
      <c r="Y1" s="98"/>
      <c r="AB1" s="86">
        <v>0</v>
      </c>
      <c r="AC1" s="98"/>
    </row>
    <row r="2" spans="1:29" ht="17.25" x14ac:dyDescent="0.4">
      <c r="B2" s="1319" t="s">
        <v>59</v>
      </c>
      <c r="C2" s="1320">
        <v>654</v>
      </c>
      <c r="D2" s="99">
        <v>0</v>
      </c>
      <c r="E2" s="1241"/>
      <c r="F2" s="98"/>
      <c r="G2" s="1534"/>
      <c r="H2" s="99">
        <v>0</v>
      </c>
      <c r="I2" s="1241"/>
      <c r="L2" s="87">
        <v>0</v>
      </c>
      <c r="M2" s="1241"/>
      <c r="P2" s="87">
        <v>0</v>
      </c>
      <c r="Q2" s="1241"/>
      <c r="T2" s="87">
        <v>0</v>
      </c>
      <c r="U2" s="98"/>
      <c r="X2" s="87">
        <v>0</v>
      </c>
      <c r="Y2" s="98"/>
      <c r="AB2" s="87">
        <v>0</v>
      </c>
      <c r="AC2" s="98"/>
    </row>
    <row r="3" spans="1:29" x14ac:dyDescent="0.25">
      <c r="D3" s="425">
        <f>+SUM(D1:D2)</f>
        <v>0</v>
      </c>
      <c r="E3" s="1242"/>
      <c r="F3" s="100"/>
      <c r="G3" s="1527"/>
      <c r="H3" s="425">
        <f>+SUM(H1:H2)</f>
        <v>0</v>
      </c>
      <c r="I3" s="1253"/>
      <c r="L3" s="123">
        <f>SUM(L1:L2)</f>
        <v>0</v>
      </c>
      <c r="M3" s="1254"/>
      <c r="P3" s="123">
        <f>SUM(P1:P2)</f>
        <v>0</v>
      </c>
      <c r="Q3" s="1254"/>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323251.7</v>
      </c>
      <c r="E7" s="1315"/>
      <c r="H7" s="2">
        <f>D94</f>
        <v>185601.7</v>
      </c>
      <c r="I7" s="1315"/>
      <c r="J7" s="60"/>
      <c r="L7" s="2">
        <f>H94</f>
        <v>747026.7</v>
      </c>
      <c r="M7" s="1315"/>
      <c r="P7" s="2">
        <f>L94</f>
        <v>2392924.7000000002</v>
      </c>
      <c r="Q7" s="1315"/>
      <c r="T7" s="2">
        <f>P94</f>
        <v>4188534.7</v>
      </c>
      <c r="U7" s="105"/>
      <c r="X7" s="2">
        <f>T94</f>
        <v>-346279.29999999981</v>
      </c>
      <c r="Y7" s="105"/>
      <c r="AB7" s="2">
        <f>X94</f>
        <v>-4989195.3</v>
      </c>
      <c r="AC7" s="105"/>
    </row>
    <row r="8" spans="1:29" x14ac:dyDescent="0.25">
      <c r="E8" s="1315"/>
      <c r="H8" s="2"/>
      <c r="I8" s="1315"/>
      <c r="L8" s="2"/>
      <c r="M8" s="1315"/>
      <c r="Q8" s="1315"/>
      <c r="U8" s="105"/>
      <c r="Y8" s="105"/>
      <c r="AC8" s="105"/>
    </row>
    <row r="9" spans="1:29" x14ac:dyDescent="0.25">
      <c r="B9" s="1317" t="s">
        <v>52</v>
      </c>
      <c r="C9" s="1243" t="s">
        <v>414</v>
      </c>
      <c r="D9" s="2">
        <v>4047579</v>
      </c>
      <c r="E9" s="1315" t="s">
        <v>488</v>
      </c>
      <c r="G9" s="1527">
        <f>IF(D9=0,"0.00%",(H9-D9)/D9)</f>
        <v>0.25188316274988087</v>
      </c>
      <c r="H9" s="3">
        <v>5067096</v>
      </c>
      <c r="I9" s="1315" t="s">
        <v>488</v>
      </c>
      <c r="J9" s="61"/>
      <c r="K9" s="1527">
        <f>IF(H9=0,"0.00%",(L9-H9)/H9)</f>
        <v>0.17226316612118658</v>
      </c>
      <c r="L9" s="3">
        <v>5939970</v>
      </c>
      <c r="M9" s="1315" t="s">
        <v>488</v>
      </c>
      <c r="O9" s="1527">
        <f>IF(L9=0,"0.00%",(P9-L9)/L9)</f>
        <v>4.7014210509480688E-2</v>
      </c>
      <c r="P9" s="3">
        <v>6219233</v>
      </c>
      <c r="Q9" s="1315" t="s">
        <v>488</v>
      </c>
      <c r="S9" s="83">
        <f>IF(P9=0,"0.00%",(T9-P9)/P9)</f>
        <v>-1</v>
      </c>
      <c r="T9" s="3">
        <f>T3</f>
        <v>0</v>
      </c>
      <c r="U9" s="105"/>
      <c r="W9" s="83" t="str">
        <f>IF(T9=0,"0.00%",(X9-T9)/T9)</f>
        <v>0.00%</v>
      </c>
      <c r="X9" s="3">
        <f>X3</f>
        <v>0</v>
      </c>
      <c r="Y9" s="105"/>
      <c r="AA9" s="83" t="str">
        <f>IF(X9=0,"0.00%",(AB9-X9)/X9)</f>
        <v>0.00%</v>
      </c>
      <c r="AB9" s="3">
        <f>AB3</f>
        <v>0</v>
      </c>
      <c r="AC9" s="105"/>
    </row>
    <row r="10" spans="1:29" x14ac:dyDescent="0.25">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4047579</v>
      </c>
      <c r="E11" s="1315"/>
      <c r="G11" s="1527">
        <f t="shared" si="0"/>
        <v>0.25188316274988087</v>
      </c>
      <c r="H11" s="8">
        <f>SUM(H9:H10)</f>
        <v>5067096</v>
      </c>
      <c r="I11" s="1882">
        <f>+H11-D11</f>
        <v>1019517</v>
      </c>
      <c r="J11" s="62"/>
      <c r="K11" s="1527">
        <f>IF(H11=0,"0.00%",(L11-H11)/H11)</f>
        <v>0.17226316612118658</v>
      </c>
      <c r="L11" s="8">
        <f>SUM(L9:L10)</f>
        <v>5939970</v>
      </c>
      <c r="M11" s="1882">
        <f>+L11-H11</f>
        <v>872874</v>
      </c>
      <c r="O11" s="1527">
        <f>IF(L11=0,"0.00%",(P11-L11)/L11)</f>
        <v>4.7014210509480688E-2</v>
      </c>
      <c r="P11" s="8">
        <f>SUM(P9:P10)</f>
        <v>6219233</v>
      </c>
      <c r="Q11" s="1882">
        <f>+P11-L11</f>
        <v>279263</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C13" s="1325" t="s">
        <v>64</v>
      </c>
      <c r="D13" s="9">
        <f>ROUND(D11-(D11/(1+E13)),0)</f>
        <v>0</v>
      </c>
      <c r="E13" s="52">
        <v>0</v>
      </c>
      <c r="G13" s="1527" t="str">
        <f t="shared" si="0"/>
        <v>0.00%</v>
      </c>
      <c r="H13" s="9">
        <f>ROUND(H11-(H11/(1+E13)),0)</f>
        <v>0</v>
      </c>
      <c r="I13" s="1315"/>
      <c r="J13" s="64"/>
      <c r="K13" s="1527" t="str">
        <f>IF(H13=0,"0.00%",(L13-H13)/H13)</f>
        <v>0.00%</v>
      </c>
      <c r="L13" s="9">
        <f>ROUND(L11-(L11/(1+E13)),0)</f>
        <v>0</v>
      </c>
      <c r="M13" s="1315"/>
      <c r="O13" s="1527" t="str">
        <f>IF(L13=0,"0.00%",(P13-L13)/L13)</f>
        <v>0.00%</v>
      </c>
      <c r="P13" s="9">
        <f>ROUND(P11-(P11/(1+E13)),0)</f>
        <v>0</v>
      </c>
      <c r="Q13" s="1315"/>
      <c r="S13" s="83" t="str">
        <f>IF(P13=0,"0.00%",(T13-P13)/P13)</f>
        <v>0.00%</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D11-D13+D7</f>
        <v>4370830.7</v>
      </c>
      <c r="E15" s="1315"/>
      <c r="G15" s="1527">
        <f t="shared" si="0"/>
        <v>0.20176187560868006</v>
      </c>
      <c r="H15" s="10">
        <f>H11-H13+H7</f>
        <v>5252697.7</v>
      </c>
      <c r="I15" s="1882">
        <f>+H15-D15</f>
        <v>881867</v>
      </c>
      <c r="J15" s="62"/>
      <c r="K15" s="1527">
        <f>IF(H15=0,"0.00%",(L15-H15)/H15)</f>
        <v>0.27305949855062095</v>
      </c>
      <c r="L15" s="10">
        <f>L11-L13+L7</f>
        <v>6686996.7000000002</v>
      </c>
      <c r="M15" s="1882">
        <f>+L15-H15</f>
        <v>1434299</v>
      </c>
      <c r="O15" s="1527">
        <f>IF(L15=0,"0.00%",(P15-L15)/L15)</f>
        <v>0.28789620907095692</v>
      </c>
      <c r="P15" s="10">
        <f>P11-P13+P7</f>
        <v>8612157.6999999993</v>
      </c>
      <c r="Q15" s="1882">
        <f>+P15-L15</f>
        <v>1925160.9999999991</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526">
        <v>1.4999999999999999E-2</v>
      </c>
      <c r="P19" s="14" t="s">
        <v>48</v>
      </c>
      <c r="Q19" s="1526">
        <v>1.4999999999999999E-2</v>
      </c>
      <c r="T19" s="14" t="s">
        <v>48</v>
      </c>
      <c r="U19" s="104">
        <v>0.02</v>
      </c>
      <c r="X19" s="14" t="s">
        <v>48</v>
      </c>
      <c r="Y19" s="104">
        <v>0.02</v>
      </c>
      <c r="AB19" s="14" t="s">
        <v>48</v>
      </c>
      <c r="AC19" s="104">
        <v>0.02</v>
      </c>
    </row>
    <row r="20" spans="1:29" s="13" customFormat="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x14ac:dyDescent="0.25">
      <c r="A21" s="152"/>
      <c r="B21" s="1326">
        <v>1101</v>
      </c>
      <c r="C21" s="1243" t="s">
        <v>415</v>
      </c>
      <c r="D21" s="2">
        <v>1100662</v>
      </c>
      <c r="E21" s="1249"/>
      <c r="F21" s="2"/>
      <c r="G21" s="1527">
        <f t="shared" ref="G21:G32" si="1">IF(D21=0,"0.00%",(H21-D21)/D21)</f>
        <v>3.0178201845798256E-2</v>
      </c>
      <c r="H21" s="2">
        <v>1133878</v>
      </c>
      <c r="I21" s="1240"/>
      <c r="J21" s="66"/>
      <c r="K21" s="1527">
        <f t="shared" ref="K21:K27" si="2">IF(H21=0,"0.00%",(L21-H21)/H21)</f>
        <v>1.4999850072053606E-2</v>
      </c>
      <c r="L21" s="2">
        <f>ROUND(H21*(1+M19),0)</f>
        <v>1150886</v>
      </c>
      <c r="M21" s="1257" t="str">
        <f>TEXT(M19,"0.0%")&amp;" = Est. S &amp; C"</f>
        <v>1.5% = Est. S &amp; C</v>
      </c>
      <c r="O21" s="1527">
        <f t="shared" ref="O21:O27" si="3">IF(L21=0,"0.00%",(P21-L21)/L21)</f>
        <v>1.4999748020220943E-2</v>
      </c>
      <c r="P21" s="2">
        <f>ROUND(L21*(1+Q19),0)</f>
        <v>1168149</v>
      </c>
      <c r="Q21" s="1257" t="str">
        <f>TEXT(Q19,"0.0%")&amp;" = Est. S &amp; C"</f>
        <v>1.5% = Est. S &amp; C</v>
      </c>
      <c r="S21" s="83">
        <f t="shared" ref="S21:S27" si="4">IF(P21=0,"0.00%",(T21-P21)/P21)</f>
        <v>2.0000017121103556E-2</v>
      </c>
      <c r="T21" s="2">
        <f>ROUND(P21*(1+U19),0)</f>
        <v>1191512</v>
      </c>
      <c r="U21" s="36" t="str">
        <f>TEXT(U19,"0.0%")&amp;" = Est. S &amp; C"</f>
        <v>2.0% = Est. S &amp; C</v>
      </c>
      <c r="W21" s="83">
        <f t="shared" ref="W21:W27" si="5">IF(T21=0,"0.00%",(X21-T21)/T21)</f>
        <v>1.9999798575255641E-2</v>
      </c>
      <c r="X21" s="2">
        <f>ROUND(T21*(1+Y19),0)</f>
        <v>1215342</v>
      </c>
      <c r="Y21" s="36" t="str">
        <f>TEXT(Y19,"0.0%")&amp;" = Est. S &amp; C"</f>
        <v>2.0% = Est. S &amp; C</v>
      </c>
      <c r="AA21" s="83">
        <f t="shared" ref="AA21:AA27" si="6">IF(X21=0,"0.00%",(AB21-X21)/X21)</f>
        <v>2.0000131650185708E-2</v>
      </c>
      <c r="AB21" s="2">
        <f>ROUND(X21*(1+AC19),0)</f>
        <v>1239649</v>
      </c>
      <c r="AC21" s="36" t="str">
        <f>TEXT(AC19,"0.0%")&amp;" = Est. S &amp; C"</f>
        <v>2.0% = Est. S &amp; C</v>
      </c>
    </row>
    <row r="22" spans="1:29" x14ac:dyDescent="0.25">
      <c r="A22" s="153"/>
      <c r="B22" s="1326">
        <v>1103</v>
      </c>
      <c r="C22" s="1243" t="s">
        <v>416</v>
      </c>
      <c r="D22" s="2">
        <v>157095</v>
      </c>
      <c r="E22" s="1249"/>
      <c r="F22" s="2"/>
      <c r="G22" s="1527">
        <f t="shared" si="1"/>
        <v>-3.6105541233011872E-2</v>
      </c>
      <c r="H22" s="2">
        <v>151423</v>
      </c>
      <c r="I22" s="1257"/>
      <c r="J22" s="66"/>
      <c r="K22" s="1527">
        <f t="shared" si="2"/>
        <v>1.4997721614285808E-2</v>
      </c>
      <c r="L22" s="2">
        <f>ROUND(H22*(1+M19),0)</f>
        <v>153694</v>
      </c>
      <c r="M22" s="1257" t="str">
        <f>TEXT(M19,"0.0%")&amp;" = Est. S &amp; C"</f>
        <v>1.5% = Est. S &amp; C</v>
      </c>
      <c r="O22" s="1527">
        <f t="shared" si="3"/>
        <v>1.4997332361705727E-2</v>
      </c>
      <c r="P22" s="2">
        <f>ROUND(L22*(1+Q19),0)</f>
        <v>155999</v>
      </c>
      <c r="Q22" s="1257" t="str">
        <f>TEXT(Q19,"0.0%")&amp;" = Est. S &amp; C"</f>
        <v>1.5% = Est. S &amp; C</v>
      </c>
      <c r="S22" s="83">
        <f t="shared" si="4"/>
        <v>2.0000128205950037E-2</v>
      </c>
      <c r="T22" s="2">
        <f>ROUND(P22*(1+U19),0)</f>
        <v>159119</v>
      </c>
      <c r="U22" s="36" t="str">
        <f>TEXT(U19,"0.0%")&amp;" = Est. S &amp; C"</f>
        <v>2.0% = Est. S &amp; C</v>
      </c>
      <c r="W22" s="83">
        <f t="shared" si="5"/>
        <v>1.9997611850250441E-2</v>
      </c>
      <c r="X22" s="2">
        <f>ROUND(T22*(1+Y19),0)</f>
        <v>162301</v>
      </c>
      <c r="Y22" s="36" t="str">
        <f>TEXT(Y19,"0.0%")&amp;" = Est. S &amp; C"</f>
        <v>2.0% = Est. S &amp; C</v>
      </c>
      <c r="AA22" s="83">
        <f t="shared" si="6"/>
        <v>1.9999876772170227E-2</v>
      </c>
      <c r="AB22" s="2">
        <f>ROUND(X22*(1+AC19),0)</f>
        <v>165547</v>
      </c>
      <c r="AC22" s="36" t="str">
        <f>TEXT(AC19,"0.0%")&amp;" = Est. S &amp; C"</f>
        <v>2.0% = Est. S &amp; C</v>
      </c>
    </row>
    <row r="23" spans="1:29" x14ac:dyDescent="0.25">
      <c r="A23" s="153"/>
      <c r="B23" s="1326">
        <v>1105</v>
      </c>
      <c r="C23" s="1243" t="s">
        <v>417</v>
      </c>
      <c r="D23" s="2">
        <v>185655</v>
      </c>
      <c r="E23" s="1249"/>
      <c r="F23" s="2"/>
      <c r="G23" s="1527">
        <f t="shared" si="1"/>
        <v>3.5657536829064661E-2</v>
      </c>
      <c r="H23" s="2">
        <v>192275</v>
      </c>
      <c r="I23" s="1257"/>
      <c r="J23" s="66"/>
      <c r="K23" s="1527">
        <f t="shared" si="2"/>
        <v>1.4999349889481211E-2</v>
      </c>
      <c r="L23" s="2">
        <f>ROUND(H23*(1+M19),0)</f>
        <v>195159</v>
      </c>
      <c r="M23" s="1257" t="str">
        <f>TEXT(M19,"0.0%")&amp;" = Est. S &amp; C"</f>
        <v>1.5% = Est. S &amp; C</v>
      </c>
      <c r="O23" s="1527">
        <f t="shared" si="3"/>
        <v>1.4998027249575987E-2</v>
      </c>
      <c r="P23" s="2">
        <f>ROUND(L23*(1+Q19),0)</f>
        <v>198086</v>
      </c>
      <c r="Q23" s="1257" t="str">
        <f>TEXT(Q19,"0.0%")&amp;" = Est. S &amp; C"</f>
        <v>1.5% = Est. S &amp; C</v>
      </c>
      <c r="S23" s="83">
        <f t="shared" si="4"/>
        <v>2.0001413527457771E-2</v>
      </c>
      <c r="T23" s="2">
        <f>ROUND(P23*(1+U19),0)</f>
        <v>202048</v>
      </c>
      <c r="U23" s="36" t="str">
        <f>TEXT(U19,"0.0%")&amp;" = Est. S &amp; C"</f>
        <v>2.0% = Est. S &amp; C</v>
      </c>
      <c r="W23" s="83">
        <f t="shared" si="5"/>
        <v>2.0000197972758947E-2</v>
      </c>
      <c r="X23" s="2">
        <f>ROUND(T23*(1+Y19),0)</f>
        <v>206089</v>
      </c>
      <c r="Y23" s="36" t="str">
        <f>TEXT(Y19,"0.0%")&amp;" = Est. S &amp; C"</f>
        <v>2.0% = Est. S &amp; C</v>
      </c>
      <c r="AA23" s="83">
        <f t="shared" si="6"/>
        <v>2.000106749996361E-2</v>
      </c>
      <c r="AB23" s="2">
        <f>ROUND(X23*(1+AC19),0)</f>
        <v>210211</v>
      </c>
      <c r="AC23" s="36" t="str">
        <f>TEXT(AC19,"0.0%")&amp;" = Est. S &amp; C"</f>
        <v>2.0% = Est. S &amp; C</v>
      </c>
    </row>
    <row r="24" spans="1:29" x14ac:dyDescent="0.25">
      <c r="A24" s="153"/>
      <c r="B24" s="1326">
        <v>1122</v>
      </c>
      <c r="C24" s="1243" t="s">
        <v>418</v>
      </c>
      <c r="D24" s="2">
        <v>35002</v>
      </c>
      <c r="E24" s="1249"/>
      <c r="F24" s="2"/>
      <c r="G24" s="1527">
        <f t="shared" si="1"/>
        <v>6.4282041026227071E-3</v>
      </c>
      <c r="H24" s="2">
        <v>35227</v>
      </c>
      <c r="I24" s="1257"/>
      <c r="J24" s="66"/>
      <c r="K24" s="1527">
        <f t="shared" si="2"/>
        <v>0</v>
      </c>
      <c r="L24" s="2">
        <f>+H24</f>
        <v>35227</v>
      </c>
      <c r="M24" s="1257"/>
      <c r="O24" s="1527">
        <f t="shared" si="3"/>
        <v>0</v>
      </c>
      <c r="P24" s="2">
        <f>+L24</f>
        <v>35227</v>
      </c>
      <c r="Q24" s="1257"/>
      <c r="S24" s="83">
        <f t="shared" si="4"/>
        <v>2.0013058165611605E-2</v>
      </c>
      <c r="T24" s="2">
        <f>ROUND(P24*(1+U19),0)</f>
        <v>35932</v>
      </c>
      <c r="U24" s="36" t="str">
        <f>TEXT(U19,"0.0%")&amp;" = Est. S &amp; C"</f>
        <v>2.0% = Est. S &amp; C</v>
      </c>
      <c r="W24" s="83">
        <f t="shared" si="5"/>
        <v>2.0010018924635421E-2</v>
      </c>
      <c r="X24" s="2">
        <f>ROUND(T24*(1+Y19),0)</f>
        <v>36651</v>
      </c>
      <c r="Y24" s="36" t="str">
        <f>TEXT(Y19,"0.0%")&amp;" = Est. S &amp; C"</f>
        <v>2.0% = Est. S &amp; C</v>
      </c>
      <c r="AA24" s="83">
        <f t="shared" si="6"/>
        <v>1.9999454312297073E-2</v>
      </c>
      <c r="AB24" s="2">
        <f>ROUND(X24*(1+AC19),0)</f>
        <v>37384</v>
      </c>
      <c r="AC24" s="36" t="str">
        <f>TEXT(AC19,"0.0%")&amp;" = Est. S &amp; C"</f>
        <v>2.0% = Est. S &amp; C</v>
      </c>
    </row>
    <row r="25" spans="1:29" x14ac:dyDescent="0.25">
      <c r="A25" s="153"/>
      <c r="B25" s="1326">
        <v>1181</v>
      </c>
      <c r="C25" s="1243" t="s">
        <v>419</v>
      </c>
      <c r="D25" s="2">
        <v>40073</v>
      </c>
      <c r="E25" s="1249"/>
      <c r="F25" s="2"/>
      <c r="G25" s="1527">
        <f t="shared" si="1"/>
        <v>0</v>
      </c>
      <c r="H25" s="2">
        <v>40073</v>
      </c>
      <c r="I25" s="1257"/>
      <c r="J25" s="66"/>
      <c r="K25" s="1527">
        <f t="shared" si="2"/>
        <v>0</v>
      </c>
      <c r="L25" s="2">
        <f>+H25</f>
        <v>40073</v>
      </c>
      <c r="M25" s="1257"/>
      <c r="O25" s="1527">
        <f t="shared" si="3"/>
        <v>0</v>
      </c>
      <c r="P25" s="2">
        <f>+L25</f>
        <v>40073</v>
      </c>
      <c r="Q25" s="1257"/>
      <c r="S25" s="83">
        <f t="shared" si="4"/>
        <v>1.9988520949267587E-2</v>
      </c>
      <c r="T25" s="2">
        <f>ROUND(P25*(1+U19),0)</f>
        <v>40874</v>
      </c>
      <c r="U25" s="36" t="str">
        <f>TEXT(U19,"0.0%")&amp;" = Est. S &amp; C"</f>
        <v>2.0% = Est. S &amp; C</v>
      </c>
      <c r="W25" s="83">
        <f t="shared" si="5"/>
        <v>1.9988256593433479E-2</v>
      </c>
      <c r="X25" s="2">
        <f>ROUND(T25*(1+Y19),0)</f>
        <v>41691</v>
      </c>
      <c r="Y25" s="36" t="str">
        <f>TEXT(Y19,"0.0%")&amp;" = Est. S &amp; C"</f>
        <v>2.0% = Est. S &amp; C</v>
      </c>
      <c r="AA25" s="83">
        <f t="shared" si="6"/>
        <v>2.0004317478592503E-2</v>
      </c>
      <c r="AB25" s="2">
        <f>ROUND(X25*(1+AC19),0)</f>
        <v>42525</v>
      </c>
      <c r="AC25" s="36" t="str">
        <f>TEXT(AC19,"0.0%")&amp;" = Est. S &amp; C"</f>
        <v>2.0% = Est. S &amp; C</v>
      </c>
    </row>
    <row r="26" spans="1:29" x14ac:dyDescent="0.25">
      <c r="A26" s="153"/>
      <c r="B26" s="1326">
        <v>1204</v>
      </c>
      <c r="C26" s="1243" t="s">
        <v>40</v>
      </c>
      <c r="D26" s="2">
        <v>304365</v>
      </c>
      <c r="E26" s="1249"/>
      <c r="F26" s="2"/>
      <c r="G26" s="1527">
        <f t="shared" si="1"/>
        <v>0.1151807862270629</v>
      </c>
      <c r="H26" s="2">
        <v>339422</v>
      </c>
      <c r="I26" s="1257"/>
      <c r="J26" s="66"/>
      <c r="K26" s="1527">
        <f t="shared" si="2"/>
        <v>1.499902775895493E-2</v>
      </c>
      <c r="L26" s="2">
        <f>ROUND(H26*(1+M19),0)</f>
        <v>344513</v>
      </c>
      <c r="M26" s="1257" t="str">
        <f>TEXT(M19,"0.0%")&amp;" = Est. S &amp; C"</f>
        <v>1.5% = Est. S &amp; C</v>
      </c>
      <c r="O26" s="1527">
        <f t="shared" si="3"/>
        <v>1.5000885307666184E-2</v>
      </c>
      <c r="P26" s="2">
        <f>ROUND(L26*(1+Q19),0)</f>
        <v>349681</v>
      </c>
      <c r="Q26" s="1257" t="str">
        <f>TEXT(Q19,"0.0%")&amp;" = Est. S &amp; C"</f>
        <v>1.5% = Est. S &amp; C</v>
      </c>
      <c r="S26" s="83">
        <f t="shared" si="4"/>
        <v>2.0001086704739462E-2</v>
      </c>
      <c r="T26" s="2">
        <f>ROUND(P26*(1+U19),0)</f>
        <v>356675</v>
      </c>
      <c r="U26" s="36" t="str">
        <f>TEXT(U19,"0.0%")&amp;" = Est. S &amp; C"</f>
        <v>2.0% = Est. S &amp; C</v>
      </c>
      <c r="W26" s="83">
        <f t="shared" si="5"/>
        <v>2.000140183640569E-2</v>
      </c>
      <c r="X26" s="2">
        <f>ROUND(T26*(1+Y19),0)</f>
        <v>363809</v>
      </c>
      <c r="Y26" s="36" t="str">
        <f>TEXT(Y19,"0.0%")&amp;" = Est. S &amp; C"</f>
        <v>2.0% = Est. S &amp; C</v>
      </c>
      <c r="AA26" s="83">
        <f t="shared" si="6"/>
        <v>1.9999505234889737E-2</v>
      </c>
      <c r="AB26" s="2">
        <f>ROUND(X26*(1+AC19),0)</f>
        <v>371085</v>
      </c>
      <c r="AC26" s="36" t="str">
        <f>TEXT(AC19,"0.0%")&amp;" = Est. S &amp; C"</f>
        <v>2.0% = Est. S &amp; C</v>
      </c>
    </row>
    <row r="27" spans="1:29" x14ac:dyDescent="0.25">
      <c r="A27" s="153"/>
      <c r="B27" s="1326">
        <v>1304</v>
      </c>
      <c r="C27" s="1243" t="s">
        <v>420</v>
      </c>
      <c r="D27" s="2">
        <v>339058</v>
      </c>
      <c r="E27" s="1249"/>
      <c r="F27" s="2"/>
      <c r="G27" s="1527">
        <f t="shared" si="1"/>
        <v>3.3790678880899434E-2</v>
      </c>
      <c r="H27" s="2">
        <v>350515</v>
      </c>
      <c r="I27" s="1257"/>
      <c r="J27" s="66"/>
      <c r="K27" s="1527">
        <f t="shared" si="2"/>
        <v>1.5000784559861917E-2</v>
      </c>
      <c r="L27" s="2">
        <f>ROUND(H27*(1+$M$19),0)</f>
        <v>355773</v>
      </c>
      <c r="M27" s="1257" t="str">
        <f>TEXT(M19,"0.0%")&amp;" = Est. S &amp; C"</f>
        <v>1.5% = Est. S &amp; C</v>
      </c>
      <c r="O27" s="1527">
        <f t="shared" si="3"/>
        <v>1.5001138366317848E-2</v>
      </c>
      <c r="P27" s="2">
        <f>ROUND(L27*(1+$Q$19),0)</f>
        <v>361110</v>
      </c>
      <c r="Q27" s="1257" t="str">
        <f>TEXT($Q$19,"0.0%")&amp;" = Est. S &amp; C"</f>
        <v>1.5% = Est. S &amp; C</v>
      </c>
      <c r="S27" s="83">
        <f t="shared" si="4"/>
        <v>1.9999446152142008E-2</v>
      </c>
      <c r="T27" s="2">
        <f>ROUND(P27*(1+U19),0)</f>
        <v>368332</v>
      </c>
      <c r="U27" s="36" t="str">
        <f>TEXT(U19,"0.0%")&amp;" = Est. S &amp; C"</f>
        <v>2.0% = Est. S &amp; C</v>
      </c>
      <c r="W27" s="83">
        <f t="shared" si="5"/>
        <v>2.0000977379103634E-2</v>
      </c>
      <c r="X27" s="2">
        <f>ROUND(T27*(1+Y19),0)</f>
        <v>375699</v>
      </c>
      <c r="Y27" s="36" t="str">
        <f>TEXT(Y19,"0.0%")&amp;" = Est. S &amp; C"</f>
        <v>2.0% = Est. S &amp; C</v>
      </c>
      <c r="AA27" s="83">
        <f t="shared" si="6"/>
        <v>2.0000053234104961E-2</v>
      </c>
      <c r="AB27" s="2">
        <f>ROUND(X27*(1+AC19),0)</f>
        <v>383213</v>
      </c>
      <c r="AC27" s="36" t="str">
        <f>TEXT(AC19,"0.0%")&amp;" = Est. S &amp; C"</f>
        <v>2.0% = Est. S &amp; C</v>
      </c>
    </row>
    <row r="28" spans="1:29" x14ac:dyDescent="0.25">
      <c r="A28" s="153"/>
      <c r="B28" s="1326">
        <v>1305</v>
      </c>
      <c r="C28" s="1243" t="s">
        <v>421</v>
      </c>
      <c r="D28" s="2">
        <v>301463</v>
      </c>
      <c r="E28" s="1249"/>
      <c r="F28" s="2"/>
      <c r="G28" s="1527">
        <f>IF(D28=0,"0.00%",(H28-D28)/D28)</f>
        <v>-3.3745434763138425E-2</v>
      </c>
      <c r="H28" s="2">
        <v>291290</v>
      </c>
      <c r="I28" s="1257"/>
      <c r="J28" s="66"/>
      <c r="K28" s="1527">
        <f>IF(H28=0,"0.00%",(L28-H28)/H28)</f>
        <v>1.499879844828178E-2</v>
      </c>
      <c r="L28" s="2">
        <f t="shared" ref="L28" si="7">ROUND(H28*(1+$M$19),0)</f>
        <v>295659</v>
      </c>
      <c r="M28" s="1257" t="str">
        <f>TEXT($M$19,"0.0%")&amp;" = Est. S &amp; C"</f>
        <v>1.5% = Est. S &amp; C</v>
      </c>
      <c r="O28" s="1527">
        <f>IF(L28=0,"0.00%",(P28-L28)/L28)</f>
        <v>1.5000388961607799E-2</v>
      </c>
      <c r="P28" s="2">
        <f t="shared" ref="P28" si="8">ROUND(L28*(1+$Q$19),0)</f>
        <v>300094</v>
      </c>
      <c r="Q28" s="1257" t="str">
        <f t="shared" ref="Q28" si="9">TEXT($Q$19,"0.0%")&amp;" = Est. S &amp; C"</f>
        <v>1.5% = Est. S &amp; C</v>
      </c>
      <c r="S28" s="83">
        <f>IF(P28=0,"0.00%",(T28-P28)/P28)</f>
        <v>0</v>
      </c>
      <c r="T28" s="2">
        <f>ROUND(P28*(1+U20),0)</f>
        <v>300094</v>
      </c>
      <c r="U28" s="36" t="str">
        <f>TEXT(U20,"0.0%")&amp;" = Est. S &amp; C"</f>
        <v>0.0% = Est. S &amp; C</v>
      </c>
      <c r="W28" s="83">
        <f>IF(T28=0,"0.00%",(X28-T28)/T28)</f>
        <v>0</v>
      </c>
      <c r="X28" s="2">
        <f>ROUND(T28*(1+Y20),0)</f>
        <v>300094</v>
      </c>
      <c r="Y28" s="36" t="str">
        <f>TEXT(Y20,"0.0%")&amp;" = Est. S &amp; C"</f>
        <v>0.0% = Est. S &amp; C</v>
      </c>
      <c r="AA28" s="83">
        <f>IF(X28=0,"0.00%",(AB28-X28)/X28)</f>
        <v>0</v>
      </c>
      <c r="AB28" s="2">
        <f>ROUND(X28*(1+AC20),0)</f>
        <v>300094</v>
      </c>
      <c r="AC28" s="36" t="str">
        <f>TEXT(AC20,"0.0%")&amp;" = Est. S &amp; C"</f>
        <v>0.0% = Est. S &amp; C</v>
      </c>
    </row>
    <row r="29" spans="1:29" x14ac:dyDescent="0.25">
      <c r="A29" s="153"/>
      <c r="B29" s="1326">
        <v>1310</v>
      </c>
      <c r="C29" s="1243" t="s">
        <v>727</v>
      </c>
      <c r="D29" s="2">
        <v>22451</v>
      </c>
      <c r="E29" s="1249"/>
      <c r="F29" s="2"/>
      <c r="G29" s="1527">
        <f>IF(D29=0,"0.00%",(H29-D29)/D29)</f>
        <v>-0.40011580775911987</v>
      </c>
      <c r="H29" s="2">
        <v>13468</v>
      </c>
      <c r="I29" s="1257"/>
      <c r="J29" s="66"/>
      <c r="K29" s="1527">
        <f t="shared" ref="K29:K31" si="10">IF(H29=0,"0.00%",(L29-H29)/H29)</f>
        <v>0</v>
      </c>
      <c r="L29" s="2">
        <f>+H29</f>
        <v>13468</v>
      </c>
      <c r="M29" s="1257"/>
      <c r="O29" s="1527">
        <f t="shared" ref="O29:O32" si="11">IF(L29=0,"0.00%",(P29-L29)/L29)</f>
        <v>0</v>
      </c>
      <c r="P29" s="2">
        <f>+L29</f>
        <v>13468</v>
      </c>
      <c r="Q29" s="1257"/>
      <c r="T29" s="2"/>
      <c r="U29" s="73"/>
      <c r="X29" s="2"/>
      <c r="Y29" s="73"/>
      <c r="AB29" s="2"/>
      <c r="AC29" s="73"/>
    </row>
    <row r="30" spans="1:29" x14ac:dyDescent="0.25">
      <c r="A30" s="153"/>
      <c r="B30" s="1326">
        <v>1312</v>
      </c>
      <c r="C30" s="1243" t="s">
        <v>728</v>
      </c>
      <c r="D30" s="2">
        <v>0</v>
      </c>
      <c r="E30" s="1249"/>
      <c r="F30" s="2"/>
      <c r="G30" s="1527" t="str">
        <f>IF(D30=0,"0.00%",(H30-D30)/D30)</f>
        <v>0.00%</v>
      </c>
      <c r="H30" s="826">
        <v>0</v>
      </c>
      <c r="I30" s="1367"/>
      <c r="J30" s="66"/>
      <c r="K30" s="1527" t="str">
        <f t="shared" ref="K30" si="12">IF(H30=0,"0.00%",(L30-H30)/H30)</f>
        <v>0.00%</v>
      </c>
      <c r="L30" s="826">
        <f t="shared" ref="L30" si="13">ROUND(H30*(1+$M$19),0)</f>
        <v>0</v>
      </c>
      <c r="M30" s="1367"/>
      <c r="O30" s="1527" t="str">
        <f t="shared" ref="O30" si="14">IF(L30=0,"0.00%",(P30-L30)/L30)</f>
        <v>0.00%</v>
      </c>
      <c r="P30" s="826">
        <f t="shared" ref="P30" si="15">ROUND(L30*(1+$Q$19),0)</f>
        <v>0</v>
      </c>
      <c r="Q30" s="1367"/>
      <c r="T30" s="2"/>
      <c r="U30" s="73"/>
      <c r="X30" s="2"/>
      <c r="Y30" s="73"/>
      <c r="AB30" s="2"/>
      <c r="AC30" s="73"/>
    </row>
    <row r="31" spans="1:29" x14ac:dyDescent="0.25">
      <c r="A31" s="153"/>
      <c r="B31" s="1326" t="s">
        <v>37</v>
      </c>
      <c r="C31" s="1243" t="s">
        <v>36</v>
      </c>
      <c r="D31" s="2">
        <v>0</v>
      </c>
      <c r="E31" s="1249"/>
      <c r="F31" s="2"/>
      <c r="G31" s="1527" t="str">
        <f>IF(D31=0,"0.00%",(H31-D31)/D31)</f>
        <v>0.00%</v>
      </c>
      <c r="H31" s="826">
        <v>0</v>
      </c>
      <c r="I31" s="1368"/>
      <c r="J31" s="66"/>
      <c r="K31" s="1527" t="str">
        <f t="shared" si="10"/>
        <v>0.00%</v>
      </c>
      <c r="L31" s="2">
        <v>0</v>
      </c>
      <c r="M31" s="1240"/>
      <c r="O31" s="1527" t="str">
        <f t="shared" si="11"/>
        <v>0.00%</v>
      </c>
      <c r="P31" s="2">
        <f>-'RS 4203'!Q30</f>
        <v>2055</v>
      </c>
      <c r="Q31" s="1240" t="s">
        <v>426</v>
      </c>
      <c r="T31" s="2"/>
      <c r="U31" s="73"/>
      <c r="X31" s="2"/>
      <c r="Y31" s="73"/>
      <c r="AB31" s="2"/>
      <c r="AC31" s="73"/>
    </row>
    <row r="32" spans="1:29" x14ac:dyDescent="0.25">
      <c r="A32" s="154"/>
      <c r="B32" s="1326"/>
      <c r="D32" s="8">
        <f>SUM(D21:D31)</f>
        <v>2485824</v>
      </c>
      <c r="E32" s="1249"/>
      <c r="F32" s="2"/>
      <c r="G32" s="1527">
        <f t="shared" si="1"/>
        <v>2.4839650755644808E-2</v>
      </c>
      <c r="H32" s="8">
        <f>SUM(H21:H31)</f>
        <v>2547571</v>
      </c>
      <c r="I32" s="1882">
        <f>+H32-D32</f>
        <v>61747</v>
      </c>
      <c r="J32" s="29"/>
      <c r="K32" s="1527">
        <f>IF(H32=0,"0.00%",(L32-H32)/H32)</f>
        <v>1.4476927237749213E-2</v>
      </c>
      <c r="L32" s="8">
        <f>SUM(L21:L31)</f>
        <v>2584452</v>
      </c>
      <c r="M32" s="1882">
        <f>+L32-H32</f>
        <v>36881</v>
      </c>
      <c r="O32" s="1527">
        <f t="shared" si="11"/>
        <v>1.5279834951471337E-2</v>
      </c>
      <c r="P32" s="8">
        <f>SUM(P21:P31)</f>
        <v>2623942</v>
      </c>
      <c r="Q32" s="1882">
        <f>+P32-L32</f>
        <v>39490</v>
      </c>
      <c r="S32" s="83">
        <f>IF(P32=0,"0.00%",(T32-P32)/P32)</f>
        <v>1.1678611798583963E-2</v>
      </c>
      <c r="T32" s="8">
        <f>SUM(T21:T29)</f>
        <v>2654586</v>
      </c>
      <c r="U32" s="73"/>
      <c r="W32" s="83">
        <f>IF(T32=0,"0.00%",(X32-T32)/T32)</f>
        <v>1.7739112614923759E-2</v>
      </c>
      <c r="X32" s="8">
        <f>SUM(X21:X29)</f>
        <v>2701676</v>
      </c>
      <c r="Y32" s="73"/>
      <c r="AA32" s="83">
        <f>IF(X32=0,"0.00%",(AB32-X32)/X32)</f>
        <v>1.7778593732186983E-2</v>
      </c>
      <c r="AB32" s="8">
        <f>SUM(AB21:AB29)</f>
        <v>2749708</v>
      </c>
      <c r="AC32" s="73"/>
    </row>
    <row r="33" spans="1:29" x14ac:dyDescent="0.25">
      <c r="A33" s="153"/>
      <c r="E33" s="1249"/>
      <c r="F33" s="2"/>
      <c r="H33" s="2"/>
      <c r="I33" s="1257"/>
      <c r="J33" s="66"/>
      <c r="L33" s="2"/>
      <c r="M33" s="1335"/>
      <c r="Q33" s="1335"/>
      <c r="T33" s="2"/>
      <c r="U33" s="73"/>
      <c r="X33" s="2"/>
      <c r="Y33" s="73"/>
      <c r="AB33" s="2"/>
      <c r="AC33" s="73"/>
    </row>
    <row r="34" spans="1:29" s="4" customFormat="1" x14ac:dyDescent="0.25">
      <c r="A34" s="151"/>
      <c r="B34" s="1327" t="s">
        <v>35</v>
      </c>
      <c r="C34" s="1259"/>
      <c r="D34" s="6"/>
      <c r="E34" s="1250"/>
      <c r="F34" s="6"/>
      <c r="G34" s="1539"/>
      <c r="H34" s="6"/>
      <c r="I34" s="1250"/>
      <c r="J34" s="57"/>
      <c r="K34" s="1571"/>
      <c r="L34" s="6"/>
      <c r="M34" s="1337"/>
      <c r="O34" s="1571"/>
      <c r="P34" s="6"/>
      <c r="Q34" s="1337"/>
      <c r="R34" s="111"/>
      <c r="T34" s="6"/>
      <c r="U34" s="71"/>
      <c r="X34" s="6"/>
      <c r="Y34" s="71"/>
      <c r="AB34" s="6"/>
      <c r="AC34" s="71"/>
    </row>
    <row r="35" spans="1:29" x14ac:dyDescent="0.25">
      <c r="A35" s="153"/>
      <c r="B35" s="1326" t="s">
        <v>250</v>
      </c>
      <c r="C35" s="1243" t="s">
        <v>423</v>
      </c>
      <c r="D35" s="2">
        <f>1865+2092</f>
        <v>3957</v>
      </c>
      <c r="E35" s="1249"/>
      <c r="F35" s="2"/>
      <c r="G35" s="1527">
        <f t="shared" ref="G35:G41" si="16">IF(D35=0,"0.00%",(H35-D35)/D35)</f>
        <v>-0.74728329542582761</v>
      </c>
      <c r="H35" s="2">
        <v>1000</v>
      </c>
      <c r="I35" s="1257"/>
      <c r="J35" s="66"/>
      <c r="K35" s="1527">
        <f t="shared" ref="K35:K41" si="17">IF(H35=0,"0.00%",(L35-H35)/H35)</f>
        <v>1.4999999999999999E-2</v>
      </c>
      <c r="L35" s="2">
        <f>ROUND(H35*(1+M19),0)</f>
        <v>1015</v>
      </c>
      <c r="M35" s="1257" t="str">
        <f>TEXT(M19,"0.0%")&amp;" = Est. S &amp; C"</f>
        <v>1.5% = Est. S &amp; C</v>
      </c>
      <c r="O35" s="1527">
        <f t="shared" ref="O35:O41" si="18">IF(L35=0,"0.00%",(P35-L35)/L35)</f>
        <v>1.4778325123152709E-2</v>
      </c>
      <c r="P35" s="2">
        <f>ROUND(L35*(1+Q19),0)</f>
        <v>1030</v>
      </c>
      <c r="Q35" s="1257" t="str">
        <f>TEXT(Q19,"0.0%")&amp;" = Est. S &amp; C"</f>
        <v>1.5% = Est. S &amp; C</v>
      </c>
      <c r="S35" s="83">
        <f t="shared" ref="S35:S41" si="19">IF(P35=0,"0.00%",(T35-P35)/P35)</f>
        <v>2.0388349514563107E-2</v>
      </c>
      <c r="T35" s="2">
        <f>ROUND(P35*(1+U19),0)</f>
        <v>1051</v>
      </c>
      <c r="U35" s="36" t="str">
        <f>TEXT(U19,"0.0%")&amp;" = Est. S &amp; C"</f>
        <v>2.0% = Est. S &amp; C</v>
      </c>
      <c r="W35" s="83">
        <f t="shared" ref="W35:W41" si="20">IF(T35=0,"0.00%",(X35-T35)/T35)</f>
        <v>1.9980970504281638E-2</v>
      </c>
      <c r="X35" s="2">
        <f>ROUND(T35*(1+Y19),0)</f>
        <v>1072</v>
      </c>
      <c r="Y35" s="36" t="str">
        <f>TEXT(Y19,"0.0%")&amp;" = Est. S &amp; C"</f>
        <v>2.0% = Est. S &amp; C</v>
      </c>
      <c r="AA35" s="83">
        <f t="shared" ref="AA35:AA41" si="21">IF(X35=0,"0.00%",(AB35-X35)/X35)</f>
        <v>1.9589552238805971E-2</v>
      </c>
      <c r="AB35" s="2">
        <f>ROUND(X35*(1+AC19),0)</f>
        <v>1093</v>
      </c>
      <c r="AC35" s="36" t="str">
        <f>TEXT(AC19,"0.0%")&amp;" = Est. S &amp; C"</f>
        <v>2.0% = Est. S &amp; C</v>
      </c>
    </row>
    <row r="36" spans="1:29" x14ac:dyDescent="0.25">
      <c r="A36" s="153"/>
      <c r="B36" s="1326" t="s">
        <v>251</v>
      </c>
      <c r="C36" s="1243" t="s">
        <v>922</v>
      </c>
      <c r="D36" s="2">
        <f>93378+38</f>
        <v>93416</v>
      </c>
      <c r="E36" s="1249"/>
      <c r="F36" s="2"/>
      <c r="G36" s="1527">
        <f t="shared" si="16"/>
        <v>0.82073734692129829</v>
      </c>
      <c r="H36" s="2">
        <f>170048+38</f>
        <v>170086</v>
      </c>
      <c r="I36" s="1257"/>
      <c r="J36" s="66"/>
      <c r="K36" s="1527">
        <f t="shared" si="17"/>
        <v>1.4998294980186493E-2</v>
      </c>
      <c r="L36" s="2">
        <f>ROUND(H36*(1+M19),0)</f>
        <v>172637</v>
      </c>
      <c r="M36" s="1257" t="str">
        <f>TEXT(M19,"0.0%")&amp;" = Est. S &amp; C"</f>
        <v>1.5% = Est. S &amp; C</v>
      </c>
      <c r="O36" s="1527">
        <f t="shared" si="18"/>
        <v>1.5002577662957536E-2</v>
      </c>
      <c r="P36" s="2">
        <f>ROUND(L36*(1+Q19),0)</f>
        <v>175227</v>
      </c>
      <c r="Q36" s="1257" t="str">
        <f>TEXT(Q19,"0.0%")&amp;" = Est. S &amp; C"</f>
        <v>1.5% = Est. S &amp; C</v>
      </c>
      <c r="S36" s="83">
        <f t="shared" si="19"/>
        <v>2.000262516621297E-2</v>
      </c>
      <c r="T36" s="2">
        <f>ROUND(P36*(1+U19),0)</f>
        <v>178732</v>
      </c>
      <c r="U36" s="36" t="str">
        <f>TEXT(U19,"0.0%")&amp;" = Est. S &amp; C"</f>
        <v>2.0% = Est. S &amp; C</v>
      </c>
      <c r="W36" s="83">
        <f t="shared" si="20"/>
        <v>2.0002014188841392E-2</v>
      </c>
      <c r="X36" s="2">
        <f>ROUND(T36*(1+Y19),0)</f>
        <v>182307</v>
      </c>
      <c r="Y36" s="36" t="str">
        <f>TEXT(Y19,"0.0%")&amp;" = Est. S &amp; C"</f>
        <v>2.0% = Est. S &amp; C</v>
      </c>
      <c r="AA36" s="83">
        <f t="shared" si="21"/>
        <v>1.9999232064594339E-2</v>
      </c>
      <c r="AB36" s="2">
        <f>ROUND(X36*(1+AC19),0)</f>
        <v>185953</v>
      </c>
      <c r="AC36" s="36" t="str">
        <f>TEXT(AC19,"0.0%")&amp;" = Est. S &amp; C"</f>
        <v>2.0% = Est. S &amp; C</v>
      </c>
    </row>
    <row r="37" spans="1:29" x14ac:dyDescent="0.25">
      <c r="A37" s="153"/>
      <c r="B37" s="1326" t="s">
        <v>252</v>
      </c>
      <c r="C37" s="1243" t="s">
        <v>425</v>
      </c>
      <c r="D37" s="2">
        <f>18765+92069+711</f>
        <v>111545</v>
      </c>
      <c r="E37" s="1249"/>
      <c r="F37" s="2"/>
      <c r="G37" s="1527">
        <f t="shared" si="16"/>
        <v>4.0234882782733426E-2</v>
      </c>
      <c r="H37" s="2">
        <f>19636+96322+75</f>
        <v>116033</v>
      </c>
      <c r="I37" s="1257"/>
      <c r="J37" s="66"/>
      <c r="K37" s="1527">
        <f t="shared" si="17"/>
        <v>1.4995733972232037E-2</v>
      </c>
      <c r="L37" s="2">
        <f>ROUND(H37*(1+M19),0)</f>
        <v>117773</v>
      </c>
      <c r="M37" s="1257" t="str">
        <f>TEXT(M19,"0.0%")&amp;" = Est. S &amp; C"</f>
        <v>1.5% = Est. S &amp; C</v>
      </c>
      <c r="O37" s="1527">
        <f t="shared" si="18"/>
        <v>1.5003438818744533E-2</v>
      </c>
      <c r="P37" s="2">
        <f>ROUND(L37*(1+Q19),0)</f>
        <v>119540</v>
      </c>
      <c r="Q37" s="1257" t="str">
        <f>TEXT(Q19,"0.0%")&amp;" = Est. S &amp; C"</f>
        <v>1.5% = Est. S &amp; C</v>
      </c>
      <c r="S37" s="83">
        <f t="shared" si="19"/>
        <v>2.0001673080140538E-2</v>
      </c>
      <c r="T37" s="2">
        <f>ROUND(P37*(1+U19),0)</f>
        <v>121931</v>
      </c>
      <c r="U37" s="36" t="str">
        <f>TEXT(U19,"0.0%")&amp;" = Est. S &amp; C"</f>
        <v>2.0% = Est. S &amp; C</v>
      </c>
      <c r="W37" s="83">
        <f t="shared" si="20"/>
        <v>2.0003116516718471E-2</v>
      </c>
      <c r="X37" s="2">
        <f>ROUND(T37*(1+Y19),0)</f>
        <v>124370</v>
      </c>
      <c r="Y37" s="36" t="str">
        <f>TEXT(Y19,"0.0%")&amp;" = Est. S &amp; C"</f>
        <v>2.0% = Est. S &amp; C</v>
      </c>
      <c r="AA37" s="83">
        <f t="shared" si="21"/>
        <v>1.9996783790303129E-2</v>
      </c>
      <c r="AB37" s="2">
        <f>ROUND(X37*(1+AC19),0)</f>
        <v>126857</v>
      </c>
      <c r="AC37" s="36" t="str">
        <f>TEXT(AC19,"0.0%")&amp;" = Est. S &amp; C"</f>
        <v>2.0% = Est. S &amp; C</v>
      </c>
    </row>
    <row r="38" spans="1:29" x14ac:dyDescent="0.25">
      <c r="A38" s="153"/>
      <c r="B38" s="1326" t="s">
        <v>255</v>
      </c>
      <c r="C38" s="1243" t="s">
        <v>256</v>
      </c>
      <c r="D38" s="2">
        <f>76+3432+628+4154+220</f>
        <v>8510</v>
      </c>
      <c r="E38" s="1249"/>
      <c r="F38" s="2"/>
      <c r="G38" s="1527">
        <f t="shared" si="16"/>
        <v>0.19882491186839013</v>
      </c>
      <c r="H38" s="2">
        <f>3432+2650+3900+220</f>
        <v>10202</v>
      </c>
      <c r="I38" s="1257"/>
      <c r="J38" s="66"/>
      <c r="K38" s="1527">
        <f t="shared" si="17"/>
        <v>0</v>
      </c>
      <c r="L38" s="2">
        <f>+H38</f>
        <v>10202</v>
      </c>
      <c r="M38" s="1257"/>
      <c r="O38" s="1527">
        <f t="shared" si="18"/>
        <v>0</v>
      </c>
      <c r="P38" s="2">
        <f>+L38</f>
        <v>10202</v>
      </c>
      <c r="Q38" s="1257"/>
      <c r="S38" s="83">
        <f t="shared" si="19"/>
        <v>1.9996079200156832E-2</v>
      </c>
      <c r="T38" s="2">
        <f>ROUND(P38*(1+U19),0)</f>
        <v>10406</v>
      </c>
      <c r="U38" s="36" t="str">
        <f>TEXT(U19,"0.0%")&amp;" = Est. S &amp; C"</f>
        <v>2.0% = Est. S &amp; C</v>
      </c>
      <c r="W38" s="83">
        <f t="shared" si="20"/>
        <v>1.9988468191428022E-2</v>
      </c>
      <c r="X38" s="2">
        <f>ROUND(T38*(1+Y19),0)</f>
        <v>10614</v>
      </c>
      <c r="Y38" s="36" t="str">
        <f>TEXT(Y19,"0.0%")&amp;" = Est. S &amp; C"</f>
        <v>2.0% = Est. S &amp; C</v>
      </c>
      <c r="AA38" s="83">
        <f t="shared" si="21"/>
        <v>1.9973619747503297E-2</v>
      </c>
      <c r="AB38" s="2">
        <f>ROUND(X38*(1+AC19),0)</f>
        <v>10826</v>
      </c>
      <c r="AC38" s="36" t="str">
        <f>TEXT(AC19,"0.0%")&amp;" = Est. S &amp; C"</f>
        <v>2.0% = Est. S &amp; C</v>
      </c>
    </row>
    <row r="39" spans="1:29" hidden="1" x14ac:dyDescent="0.25">
      <c r="A39" s="153"/>
      <c r="B39" s="1326"/>
      <c r="D39" s="2">
        <v>0</v>
      </c>
      <c r="E39" s="1249"/>
      <c r="F39" s="2"/>
      <c r="G39" s="1527" t="str">
        <f t="shared" si="16"/>
        <v>0.00%</v>
      </c>
      <c r="H39" s="2">
        <f t="shared" ref="H39:H41" si="22">ROUND(D39*(1+$I$19),0)</f>
        <v>0</v>
      </c>
      <c r="I39" s="1257" t="str">
        <f t="shared" ref="I39:I41" si="23">TEXT($I$19,"0.0%")&amp;" = Est. S &amp; C"</f>
        <v>0.0% = Est. S &amp; C</v>
      </c>
      <c r="J39" s="66"/>
      <c r="K39" s="1527" t="str">
        <f t="shared" si="17"/>
        <v>0.00%</v>
      </c>
      <c r="L39" s="2">
        <f>ROUND(H39*(1+M19),0)</f>
        <v>0</v>
      </c>
      <c r="M39" s="1257" t="str">
        <f>TEXT(M19,"0.0%")&amp;" = Est. S &amp; C"</f>
        <v>1.5% = Est. S &amp; C</v>
      </c>
      <c r="O39" s="1527" t="str">
        <f t="shared" si="18"/>
        <v>0.00%</v>
      </c>
      <c r="P39" s="2">
        <f>ROUND(L39*(1+Q19),0)</f>
        <v>0</v>
      </c>
      <c r="Q39" s="1257" t="str">
        <f>TEXT(Q19,"0.0%")&amp;" = Est. S &amp; C"</f>
        <v>1.5% = Est. S &amp; C</v>
      </c>
      <c r="S39" s="83" t="str">
        <f t="shared" si="19"/>
        <v>0.00%</v>
      </c>
      <c r="T39" s="2">
        <f>ROUND(P39*(1+U19),0)</f>
        <v>0</v>
      </c>
      <c r="U39" s="36" t="str">
        <f>TEXT(U19,"0.0%")&amp;" = Est. S &amp; C"</f>
        <v>2.0% = Est. S &amp; C</v>
      </c>
      <c r="W39" s="83" t="str">
        <f t="shared" si="20"/>
        <v>0.00%</v>
      </c>
      <c r="X39" s="2">
        <f>ROUND(T39*(1+Y19),0)</f>
        <v>0</v>
      </c>
      <c r="Y39" s="36" t="str">
        <f>TEXT(Y19,"0.0%")&amp;" = Est. S &amp; C"</f>
        <v>2.0% = Est. S &amp; C</v>
      </c>
      <c r="AA39" s="83" t="str">
        <f t="shared" si="21"/>
        <v>0.00%</v>
      </c>
      <c r="AB39" s="2">
        <f>ROUND(X39*(1+AC19),0)</f>
        <v>0</v>
      </c>
      <c r="AC39" s="36" t="str">
        <f>TEXT(AC19,"0.0%")&amp;" = Est. S &amp; C"</f>
        <v>2.0% = Est. S &amp; C</v>
      </c>
    </row>
    <row r="40" spans="1:29" hidden="1" x14ac:dyDescent="0.25">
      <c r="A40" s="153"/>
      <c r="B40" s="1326"/>
      <c r="D40" s="2">
        <v>0</v>
      </c>
      <c r="E40" s="1249"/>
      <c r="F40" s="2"/>
      <c r="G40" s="1527" t="str">
        <f t="shared" si="16"/>
        <v>0.00%</v>
      </c>
      <c r="H40" s="2">
        <f t="shared" si="22"/>
        <v>0</v>
      </c>
      <c r="I40" s="1257" t="str">
        <f t="shared" si="23"/>
        <v>0.0% = Est. S &amp; C</v>
      </c>
      <c r="J40" s="66"/>
      <c r="K40" s="1527" t="str">
        <f t="shared" si="17"/>
        <v>0.00%</v>
      </c>
      <c r="L40" s="2">
        <f>ROUND(H40*(1+M19),0)</f>
        <v>0</v>
      </c>
      <c r="M40" s="1257" t="str">
        <f>TEXT(M19,"0.0%")&amp;" = Est. S &amp; C"</f>
        <v>1.5% = Est. S &amp; C</v>
      </c>
      <c r="O40" s="1527" t="str">
        <f t="shared" si="18"/>
        <v>0.00%</v>
      </c>
      <c r="P40" s="2">
        <f>ROUND(L40*(1+Q19),0)</f>
        <v>0</v>
      </c>
      <c r="Q40" s="1257" t="str">
        <f>TEXT(Q19,"0.0%")&amp;" = Est. S &amp; C"</f>
        <v>1.5% = Est. S &amp; C</v>
      </c>
      <c r="S40" s="83" t="str">
        <f t="shared" si="19"/>
        <v>0.00%</v>
      </c>
      <c r="T40" s="2">
        <f>ROUND(P40*(1+U19),0)</f>
        <v>0</v>
      </c>
      <c r="U40" s="36" t="str">
        <f>TEXT(U19,"0.0%")&amp;" = Est. S &amp; C"</f>
        <v>2.0% = Est. S &amp; C</v>
      </c>
      <c r="W40" s="83" t="str">
        <f t="shared" si="20"/>
        <v>0.00%</v>
      </c>
      <c r="X40" s="2">
        <f>ROUND(T40*(1+Y19),0)</f>
        <v>0</v>
      </c>
      <c r="Y40" s="36" t="str">
        <f>TEXT(Y19,"0.0%")&amp;" = Est. S &amp; C"</f>
        <v>2.0% = Est. S &amp; C</v>
      </c>
      <c r="AA40" s="83" t="str">
        <f t="shared" si="21"/>
        <v>0.00%</v>
      </c>
      <c r="AB40" s="2">
        <f>ROUND(X40*(1+AC19),0)</f>
        <v>0</v>
      </c>
      <c r="AC40" s="36" t="str">
        <f>TEXT(AC19,"0.0%")&amp;" = Est. S &amp; C"</f>
        <v>2.0% = Est. S &amp; C</v>
      </c>
    </row>
    <row r="41" spans="1:29" hidden="1" x14ac:dyDescent="0.25">
      <c r="A41" s="153"/>
      <c r="B41" s="1326"/>
      <c r="D41" s="2">
        <v>0</v>
      </c>
      <c r="E41" s="1249"/>
      <c r="F41" s="2"/>
      <c r="G41" s="1527" t="str">
        <f t="shared" si="16"/>
        <v>0.00%</v>
      </c>
      <c r="H41" s="2">
        <f t="shared" si="22"/>
        <v>0</v>
      </c>
      <c r="I41" s="1257" t="str">
        <f t="shared" si="23"/>
        <v>0.0% = Est. S &amp; C</v>
      </c>
      <c r="J41" s="66"/>
      <c r="K41" s="1527" t="str">
        <f t="shared" si="17"/>
        <v>0.00%</v>
      </c>
      <c r="L41" s="2">
        <f>ROUND(H41*(1+M19),0)</f>
        <v>0</v>
      </c>
      <c r="M41" s="1257" t="str">
        <f>TEXT(M19,"0.0%")&amp;" = Est. S &amp; C"</f>
        <v>1.5% = Est. S &amp; C</v>
      </c>
      <c r="O41" s="1527" t="str">
        <f t="shared" si="18"/>
        <v>0.00%</v>
      </c>
      <c r="P41" s="2">
        <f>ROUND(L41*(1+Q19),0)</f>
        <v>0</v>
      </c>
      <c r="Q41" s="1257" t="str">
        <f>TEXT(Q19,"0.0%")&amp;" = Est. S &amp; C"</f>
        <v>1.5% = Est. S &amp; C</v>
      </c>
      <c r="S41" s="83" t="str">
        <f t="shared" si="19"/>
        <v>0.00%</v>
      </c>
      <c r="T41" s="2">
        <f>ROUND(P41*(1+U19),0)</f>
        <v>0</v>
      </c>
      <c r="U41" s="36" t="str">
        <f>TEXT(U19,"0.0%")&amp;" = Est. S &amp; C"</f>
        <v>2.0% = Est. S &amp; C</v>
      </c>
      <c r="W41" s="83" t="str">
        <f t="shared" si="20"/>
        <v>0.00%</v>
      </c>
      <c r="X41" s="2">
        <f>ROUND(T41*(1+Y19),0)</f>
        <v>0</v>
      </c>
      <c r="Y41" s="36" t="str">
        <f>TEXT(Y19,"0.0%")&amp;" = Est. S &amp; C"</f>
        <v>2.0% = Est. S &amp; C</v>
      </c>
      <c r="AA41" s="83" t="str">
        <f t="shared" si="21"/>
        <v>0.00%</v>
      </c>
      <c r="AB41" s="2">
        <f>ROUND(X41*(1+AC19),0)</f>
        <v>0</v>
      </c>
      <c r="AC41" s="36" t="str">
        <f>TEXT(AC19,"0.0%")&amp;" = Est. S &amp; C"</f>
        <v>2.0% = Est. S &amp; C</v>
      </c>
    </row>
    <row r="42" spans="1:29" ht="6" hidden="1" customHeight="1" x14ac:dyDescent="0.25">
      <c r="A42" s="153"/>
      <c r="B42" s="1326"/>
      <c r="E42" s="1249"/>
      <c r="F42" s="2"/>
      <c r="H42" s="2"/>
      <c r="I42" s="1257"/>
      <c r="J42" s="66"/>
      <c r="L42" s="2"/>
      <c r="M42" s="1335"/>
      <c r="Q42" s="1335"/>
      <c r="T42" s="2"/>
      <c r="U42" s="73"/>
      <c r="X42" s="2"/>
      <c r="Y42" s="73"/>
      <c r="AB42" s="2"/>
      <c r="AC42" s="73"/>
    </row>
    <row r="43" spans="1:29" x14ac:dyDescent="0.25">
      <c r="A43" s="154"/>
      <c r="B43" s="1326"/>
      <c r="D43" s="8">
        <f>SUM(D35:D42)</f>
        <v>217428</v>
      </c>
      <c r="E43" s="1249"/>
      <c r="F43" s="2"/>
      <c r="G43" s="1527">
        <f>IF(D43=0,"0.00%",(H43-D43)/D43)</f>
        <v>0.36744577515315413</v>
      </c>
      <c r="H43" s="8">
        <f>SUM(H35:H42)</f>
        <v>297321</v>
      </c>
      <c r="I43" s="1882">
        <f>+H43-D43</f>
        <v>79893</v>
      </c>
      <c r="J43" s="29"/>
      <c r="K43" s="1527">
        <f>IF(H43=0,"0.00%",(L43-H43)/H43)</f>
        <v>1.4482663518554021E-2</v>
      </c>
      <c r="L43" s="8">
        <f>SUM(L35:L42)</f>
        <v>301627</v>
      </c>
      <c r="M43" s="1882">
        <f>+L43-H43</f>
        <v>4306</v>
      </c>
      <c r="O43" s="1527">
        <f>IF(L43=0,"0.00%",(P43-L43)/L43)</f>
        <v>1.4494723615591442E-2</v>
      </c>
      <c r="P43" s="8">
        <f>SUM(P35:P42)</f>
        <v>305999</v>
      </c>
      <c r="Q43" s="1882">
        <f>+P43-L43</f>
        <v>4372</v>
      </c>
      <c r="S43" s="83">
        <f>IF(P43=0,"0.00%",(T43-P43)/P43)</f>
        <v>2.0003333344226614E-2</v>
      </c>
      <c r="T43" s="8">
        <f>SUM(T35:T42)</f>
        <v>312120</v>
      </c>
      <c r="U43" s="73"/>
      <c r="W43" s="83">
        <f>IF(T43=0,"0.00%",(X43-T43)/T43)</f>
        <v>2.0001922337562476E-2</v>
      </c>
      <c r="X43" s="8">
        <f>SUM(X35:X42)</f>
        <v>318363</v>
      </c>
      <c r="Y43" s="73"/>
      <c r="AA43" s="83">
        <f>IF(X43=0,"0.00%",(AB43-X43)/X43)</f>
        <v>1.9996042253653847E-2</v>
      </c>
      <c r="AB43" s="8">
        <f>SUM(AB35:AB42)</f>
        <v>324729</v>
      </c>
      <c r="AC43" s="73"/>
    </row>
    <row r="44" spans="1:29" x14ac:dyDescent="0.25">
      <c r="A44" s="153"/>
      <c r="B44" s="1317" t="s">
        <v>28</v>
      </c>
      <c r="E44" s="1249"/>
      <c r="F44" s="2"/>
      <c r="H44" s="2"/>
      <c r="I44" s="1257"/>
      <c r="J44" s="66"/>
      <c r="L44" s="2"/>
      <c r="M44" s="1335"/>
      <c r="Q44" s="1335"/>
      <c r="T44" s="2"/>
      <c r="U44" s="73"/>
      <c r="X44" s="2"/>
      <c r="Y44" s="73"/>
      <c r="AB44" s="2"/>
      <c r="AC44" s="73"/>
    </row>
    <row r="45" spans="1:29" x14ac:dyDescent="0.25">
      <c r="A45" s="155"/>
      <c r="B45" s="1323" t="s">
        <v>27</v>
      </c>
      <c r="E45" s="1249"/>
      <c r="F45" s="2"/>
      <c r="H45" s="2"/>
      <c r="I45" s="1257"/>
      <c r="J45" s="66"/>
      <c r="L45" s="2"/>
      <c r="M45" s="1335"/>
      <c r="Q45" s="1335"/>
      <c r="T45" s="2"/>
      <c r="U45" s="73"/>
      <c r="X45" s="2"/>
      <c r="Y45" s="73"/>
      <c r="AB45" s="2"/>
      <c r="AC45" s="73"/>
    </row>
    <row r="46" spans="1:29" x14ac:dyDescent="0.25">
      <c r="A46" s="153"/>
      <c r="B46" s="1326" t="s">
        <v>83</v>
      </c>
      <c r="C46" s="1243" t="s">
        <v>76</v>
      </c>
      <c r="D46" s="2">
        <f>309876+11747</f>
        <v>321623</v>
      </c>
      <c r="E46" s="1240" t="str">
        <f>TEXT('MYP Assumptions'!$D$52,"0.00%")&amp;", STRS rate"</f>
        <v>12.58%, STRS rate</v>
      </c>
      <c r="F46" s="2"/>
      <c r="G46" s="1527">
        <f t="shared" ref="G46:G55" si="24">IF(D46=0,"0.00%",(H46-D46)/D46)</f>
        <v>0.21927847199982589</v>
      </c>
      <c r="H46" s="2">
        <f>367610+24538</f>
        <v>392148</v>
      </c>
      <c r="I46" s="1240" t="str">
        <f>TEXT('MYP Assumptions'!E52,"0.00%")&amp;", projected STRS rate"</f>
        <v>14.43%, projected STRS rate</v>
      </c>
      <c r="J46" s="66"/>
      <c r="K46" s="1527">
        <f t="shared" ref="K46:K55" si="25">IF(H46=0,"0.00%",(L46-H46)/H46)</f>
        <v>7.2934198312881865E-2</v>
      </c>
      <c r="L46" s="2">
        <f>ROUND(L32*LEFT(M46,6),0)</f>
        <v>420749</v>
      </c>
      <c r="M46" s="1240" t="str">
        <f>TEXT('MYP Assumptions'!F52,"0.00%")&amp;", projected STRS rate"</f>
        <v>16.28%, projected STRS rate</v>
      </c>
      <c r="O46" s="1527">
        <f t="shared" ref="O46:O55" si="26">IF(L46=0,"0.00%",(P46-L46)/L46)</f>
        <v>0.13065271694050373</v>
      </c>
      <c r="P46" s="2">
        <f>ROUND(P32*LEFT(Q46,6),0)</f>
        <v>475721</v>
      </c>
      <c r="Q46" s="1240" t="str">
        <f>TEXT('MYP Assumptions'!G52,"0.00%")&amp;", projected STRS rate"</f>
        <v>18.13%, projected STRS rate</v>
      </c>
      <c r="S46" s="83">
        <f t="shared" ref="S46:S55" si="27">IF(P46=0,"0.00%",(T46-P46)/P46)</f>
        <v>6.5805377521698641E-2</v>
      </c>
      <c r="T46" s="2">
        <f>ROUND(T32*LEFT(U46,6),0)</f>
        <v>507026</v>
      </c>
      <c r="U46" s="81" t="str">
        <f>TEXT('MYP Assumptions'!H52,"0.00%")&amp;", projected STRS rate"</f>
        <v>19.10%, projected STRS rate</v>
      </c>
      <c r="W46" s="83">
        <f t="shared" ref="W46:W55" si="28">IF(T46=0,"0.00%",(X46-T46)/T46)</f>
        <v>1.7738735291681296E-2</v>
      </c>
      <c r="X46" s="2">
        <f>ROUND(X32*LEFT(Y46,6),0)</f>
        <v>516020</v>
      </c>
      <c r="Y46" s="81" t="str">
        <f>TEXT('MYP Assumptions'!I52,"0.00%")&amp;", projected STRS rate"</f>
        <v>19.10%, projected STRS rate</v>
      </c>
      <c r="AA46" s="83">
        <f t="shared" ref="AA46:AA55" si="29">IF(X46=0,"0.00%",(AB46-X46)/X46)</f>
        <v>1.7778380682919266E-2</v>
      </c>
      <c r="AB46" s="2">
        <f>ROUND(AB32*LEFT(AC46,6),0)</f>
        <v>525194</v>
      </c>
      <c r="AC46" s="81" t="str">
        <f>TEXT('MYP Assumptions'!J52,"0.00%")&amp;", projected STRS rate"</f>
        <v>19.10%, projected STRS rate</v>
      </c>
    </row>
    <row r="47" spans="1:29" x14ac:dyDescent="0.25">
      <c r="A47" s="153"/>
      <c r="B47" s="1326" t="s">
        <v>84</v>
      </c>
      <c r="C47" s="1243" t="s">
        <v>77</v>
      </c>
      <c r="D47" s="2">
        <v>16680</v>
      </c>
      <c r="E47" s="1240" t="str">
        <f>TEXT('MYP Assumptions'!$D$53,"0.00%")&amp;", PERS rate"</f>
        <v>13.89%, PERS rate</v>
      </c>
      <c r="F47" s="2"/>
      <c r="G47" s="1527">
        <f t="shared" si="24"/>
        <v>0.18543165467625899</v>
      </c>
      <c r="H47" s="2">
        <v>19773</v>
      </c>
      <c r="I47" s="1240" t="str">
        <f>TEXT('MYP Assumptions'!E53,"0.00%")&amp;", projected PERS rate"</f>
        <v>15.53%, projected PERS rate</v>
      </c>
      <c r="J47" s="66"/>
      <c r="K47" s="1527">
        <f t="shared" si="25"/>
        <v>1.7610377787892582</v>
      </c>
      <c r="L47" s="2">
        <f>ROUND(L43*LEFT(M47,6),0)</f>
        <v>54594</v>
      </c>
      <c r="M47" s="1240" t="str">
        <f>TEXT('MYP Assumptions'!F53,"0.00%")&amp;", projected PERS rate"</f>
        <v>18.10%, projected PERS rate</v>
      </c>
      <c r="O47" s="1527">
        <f t="shared" si="26"/>
        <v>0.16584240026376526</v>
      </c>
      <c r="P47" s="2">
        <f>ROUND(P43*LEFT(Q47,6),0)</f>
        <v>63648</v>
      </c>
      <c r="Q47" s="1240" t="str">
        <f>TEXT('MYP Assumptions'!G53,"0.00%")&amp;", projected PERS rate"</f>
        <v>20.80%, projected PERS rate</v>
      </c>
      <c r="S47" s="83">
        <f t="shared" si="27"/>
        <v>0.16712229763700351</v>
      </c>
      <c r="T47" s="2">
        <f>ROUND(T43*LEFT(U47,6),0)</f>
        <v>74285</v>
      </c>
      <c r="U47" s="81" t="str">
        <f>TEXT('MYP Assumptions'!H53,"0.00%")&amp;", projected PERS rate"</f>
        <v>23.80%, projected PERS rate</v>
      </c>
      <c r="W47" s="83">
        <f t="shared" si="28"/>
        <v>7.9989230665679478E-2</v>
      </c>
      <c r="X47" s="2">
        <f>ROUND(X43*LEFT(Y47,6),0)</f>
        <v>80227</v>
      </c>
      <c r="Y47" s="81" t="str">
        <f>TEXT('MYP Assumptions'!I53,"0.00%")&amp;", projected PERS rate"</f>
        <v>25.20%, projected PERS rate</v>
      </c>
      <c r="AA47" s="83">
        <f t="shared" si="29"/>
        <v>5.6427387288568685E-2</v>
      </c>
      <c r="AB47" s="2">
        <f>ROUND(AB43*LEFT(AC47,6),0)</f>
        <v>84754</v>
      </c>
      <c r="AC47" s="81" t="str">
        <f>TEXT('MYP Assumptions'!J53,"0.00%")&amp;", projected PERS rate"</f>
        <v>26.10%, projected PERS rate</v>
      </c>
    </row>
    <row r="48" spans="1:29" x14ac:dyDescent="0.25">
      <c r="A48" s="153"/>
      <c r="B48" s="1326" t="s">
        <v>85</v>
      </c>
      <c r="C48" s="1243" t="s">
        <v>78</v>
      </c>
      <c r="D48" s="2">
        <f>110+7413</f>
        <v>7523</v>
      </c>
      <c r="E48" s="1240" t="str">
        <f>TEXT('MYP Assumptions'!$D$54,"0.00%")&amp;", SS rate"</f>
        <v>6.20%, SS rate</v>
      </c>
      <c r="F48" s="2"/>
      <c r="G48" s="1527">
        <f t="shared" si="24"/>
        <v>7.2710354911604408E-2</v>
      </c>
      <c r="H48" s="2">
        <v>8070</v>
      </c>
      <c r="I48" s="1240" t="str">
        <f>TEXT('MYP Assumptions'!E54,"0.00%")&amp;", no rate change"</f>
        <v>6.20%, no rate change</v>
      </c>
      <c r="J48" s="66"/>
      <c r="K48" s="1527">
        <f t="shared" si="25"/>
        <v>1.3173482032218091</v>
      </c>
      <c r="L48" s="2">
        <f>ROUND(L43*LEFT(M48,5),0)</f>
        <v>18701</v>
      </c>
      <c r="M48" s="1240" t="str">
        <f>TEXT('MYP Assumptions'!F54,"0.00%")&amp;", no rate change"</f>
        <v>6.20%, no rate change</v>
      </c>
      <c r="O48" s="1527">
        <f t="shared" si="26"/>
        <v>1.4491203678947649E-2</v>
      </c>
      <c r="P48" s="2">
        <f>ROUND(P43*LEFT(Q48,5),0)</f>
        <v>18972</v>
      </c>
      <c r="Q48" s="1240" t="str">
        <f>TEXT('MYP Assumptions'!G54,"0.00%")&amp;", no rate change"</f>
        <v>6.20%, no rate change</v>
      </c>
      <c r="S48" s="83">
        <f t="shared" si="27"/>
        <v>1.9976807927472064E-2</v>
      </c>
      <c r="T48" s="2">
        <f>ROUND(T43*LEFT(U48,5),0)</f>
        <v>19351</v>
      </c>
      <c r="U48" s="81" t="str">
        <f>TEXT('MYP Assumptions'!H54,"0.00%")&amp;", no rate change"</f>
        <v>6.20%, no rate change</v>
      </c>
      <c r="W48" s="83">
        <f t="shared" si="28"/>
        <v>2.0050643377603223E-2</v>
      </c>
      <c r="X48" s="2">
        <f>ROUND(X43*LEFT(Y48,5),0)</f>
        <v>19739</v>
      </c>
      <c r="Y48" s="81" t="str">
        <f>TEXT('MYP Assumptions'!I54,"0.00%")&amp;", no rate change"</f>
        <v>6.20%, no rate change</v>
      </c>
      <c r="AA48" s="83">
        <f t="shared" si="29"/>
        <v>1.9960484320380972E-2</v>
      </c>
      <c r="AB48" s="2">
        <f>ROUND(AB43*LEFT(AC48,5),0)</f>
        <v>20133</v>
      </c>
      <c r="AC48" s="81" t="str">
        <f>TEXT('MYP Assumptions'!J54,"0.00%")&amp;", no rate change"</f>
        <v>6.20%, no rate change</v>
      </c>
    </row>
    <row r="49" spans="1:29" x14ac:dyDescent="0.25">
      <c r="A49" s="153"/>
      <c r="B49" s="1326" t="s">
        <v>86</v>
      </c>
      <c r="C49" s="1243" t="s">
        <v>79</v>
      </c>
      <c r="D49" s="2">
        <f>35853+3107</f>
        <v>38960</v>
      </c>
      <c r="E49" s="1240" t="str">
        <f>TEXT('MYP Assumptions'!$D$55,"0.00%")&amp;", Medicare rate"</f>
        <v>1.45%, Medicare rate</v>
      </c>
      <c r="F49" s="2"/>
      <c r="G49" s="1527">
        <f t="shared" si="24"/>
        <v>6.4219712525667355E-2</v>
      </c>
      <c r="H49" s="2">
        <f>37113+4349</f>
        <v>41462</v>
      </c>
      <c r="I49" s="1240" t="str">
        <f>TEXT('MYP Assumptions'!E55,"0.00%")&amp;", no rate change"</f>
        <v>1.45%, no rate change</v>
      </c>
      <c r="J49" s="66"/>
      <c r="K49" s="1527">
        <f t="shared" si="25"/>
        <v>9.3097293907674489E-3</v>
      </c>
      <c r="L49" s="2">
        <f>ROUND((L43+L32)*LEFT(M49,5),0)</f>
        <v>41848</v>
      </c>
      <c r="M49" s="1240" t="str">
        <f>TEXT('MYP Assumptions'!F55,"0.00%")&amp;", no rate change"</f>
        <v>1.45%, no rate change</v>
      </c>
      <c r="O49" s="1527">
        <f t="shared" si="26"/>
        <v>1.5197858917988912E-2</v>
      </c>
      <c r="P49" s="2">
        <f>ROUND((P43+P32)*LEFT(Q49,5),0)</f>
        <v>42484</v>
      </c>
      <c r="Q49" s="1240" t="str">
        <f>TEXT('MYP Assumptions'!G55,"0.00%")&amp;", no rate change"</f>
        <v>1.45%, no rate change</v>
      </c>
      <c r="S49" s="83">
        <f t="shared" si="27"/>
        <v>1.2545899632802938E-2</v>
      </c>
      <c r="T49" s="2">
        <f>ROUND((T43+T32)*LEFT(U49,5),0)</f>
        <v>43017</v>
      </c>
      <c r="U49" s="81" t="str">
        <f>TEXT('MYP Assumptions'!H55,"0.00%")&amp;", no rate change"</f>
        <v>1.45%, no rate change</v>
      </c>
      <c r="W49" s="83">
        <f t="shared" si="28"/>
        <v>1.7992886533231049E-2</v>
      </c>
      <c r="X49" s="2">
        <f>ROUND((X43+X32)*LEFT(Y49,5),0)</f>
        <v>43791</v>
      </c>
      <c r="Y49" s="81" t="str">
        <f>TEXT('MYP Assumptions'!I55,"0.00%")&amp;", no rate change"</f>
        <v>1.45%, no rate change</v>
      </c>
      <c r="AA49" s="83">
        <f t="shared" si="29"/>
        <v>1.799456509328401E-2</v>
      </c>
      <c r="AB49" s="2">
        <f>ROUND((AB43+AB32)*LEFT(AC49,5),0)</f>
        <v>44579</v>
      </c>
      <c r="AC49" s="81" t="str">
        <f>TEXT('MYP Assumptions'!J55,"0.00%")&amp;", no rate change"</f>
        <v>1.45%, no rate change</v>
      </c>
    </row>
    <row r="50" spans="1:29" x14ac:dyDescent="0.25">
      <c r="A50" s="153"/>
      <c r="B50" s="1326" t="s">
        <v>87</v>
      </c>
      <c r="C50" s="1243" t="s">
        <v>80</v>
      </c>
      <c r="D50" s="2">
        <f>229136+22496</f>
        <v>251632</v>
      </c>
      <c r="E50" s="1240"/>
      <c r="F50" s="2"/>
      <c r="G50" s="1527">
        <f t="shared" si="24"/>
        <v>7.4521523494627068E-2</v>
      </c>
      <c r="H50" s="2">
        <f>245128+25256</f>
        <v>270384</v>
      </c>
      <c r="I50" s="1240" t="str">
        <f>TEXT('MYP Assumptions'!$M$62,"0.00%")&amp;", projected increase"</f>
        <v>7.00%, projected increase</v>
      </c>
      <c r="J50" s="66"/>
      <c r="K50" s="1527">
        <f t="shared" si="25"/>
        <v>7.0000443813243385E-2</v>
      </c>
      <c r="L50" s="2">
        <f>ROUND((H50)*(LEFT(M50,5)+1),0)</f>
        <v>289311</v>
      </c>
      <c r="M50" s="1240" t="str">
        <f>TEXT('MYP Assumptions'!$M$62,"0.00%")&amp;", projected increase"</f>
        <v>7.00%, projected increase</v>
      </c>
      <c r="O50" s="1527">
        <f t="shared" si="26"/>
        <v>7.0000794992240184E-2</v>
      </c>
      <c r="P50" s="2">
        <f>ROUND((L50)*(LEFT(Q50,5)+1),0)</f>
        <v>309563</v>
      </c>
      <c r="Q50" s="1240" t="str">
        <f>TEXT('MYP Assumptions'!$M$62,"0.00%")&amp;", projected increase"</f>
        <v>7.00%, projected increase</v>
      </c>
      <c r="S50" s="83">
        <f t="shared" si="27"/>
        <v>6.9998675552310832E-2</v>
      </c>
      <c r="T50" s="2">
        <f>ROUND((P50)*(LEFT(U50,5)+1),0)</f>
        <v>331232</v>
      </c>
      <c r="U50" s="81" t="str">
        <f>TEXT('MYP Assumptions'!$M$62,"0.00%")&amp;", projected increase"</f>
        <v>7.00%, projected increase</v>
      </c>
      <c r="W50" s="83">
        <f t="shared" si="28"/>
        <v>6.9999275432325384E-2</v>
      </c>
      <c r="X50" s="2">
        <f>ROUND((T50)*(LEFT(Y50,5)+1),0)</f>
        <v>354418</v>
      </c>
      <c r="Y50" s="81" t="str">
        <f>TEXT('MYP Assumptions'!$M$62,"0.00%")&amp;", projected increase"</f>
        <v>7.00%, projected increase</v>
      </c>
      <c r="AA50" s="83">
        <f t="shared" si="29"/>
        <v>6.9999266402947929E-2</v>
      </c>
      <c r="AB50" s="2">
        <f>ROUND((X50)*(LEFT(AC50,5)+1),0)</f>
        <v>379227</v>
      </c>
      <c r="AC50" s="81" t="str">
        <f>TEXT('MYP Assumptions'!$M$62,"0.00%")&amp;", projected increase"</f>
        <v>7.00%, projected increase</v>
      </c>
    </row>
    <row r="51" spans="1:29" x14ac:dyDescent="0.25">
      <c r="A51" s="153"/>
      <c r="B51" s="1326" t="s">
        <v>88</v>
      </c>
      <c r="C51" s="1243" t="s">
        <v>81</v>
      </c>
      <c r="D51" s="2">
        <f>1244+105</f>
        <v>1349</v>
      </c>
      <c r="E51" s="1240" t="str">
        <f>TEXT('MYP Assumptions'!$D$56,"0.00%")&amp;", SUI rate"</f>
        <v>0.05%, SUI rate</v>
      </c>
      <c r="F51" s="2"/>
      <c r="G51" s="1527">
        <f t="shared" si="24"/>
        <v>6.1527057079318014E-2</v>
      </c>
      <c r="H51" s="2">
        <f>1282+150</f>
        <v>1432</v>
      </c>
      <c r="I51" s="1240" t="str">
        <f>TEXT('MYP Assumptions'!E56,"0.00%")&amp;", no rate change"</f>
        <v>0.05%, no rate change</v>
      </c>
      <c r="J51" s="66"/>
      <c r="K51" s="1527">
        <f t="shared" si="25"/>
        <v>7.6815642458100556E-3</v>
      </c>
      <c r="L51" s="2">
        <f>ROUND((L43+L32)*LEFT(M51,5),0)</f>
        <v>1443</v>
      </c>
      <c r="M51" s="1240" t="str">
        <f>TEXT('MYP Assumptions'!F56,"0.00%")&amp;", no rate change"</f>
        <v>0.05%, no rate change</v>
      </c>
      <c r="O51" s="1527">
        <f t="shared" si="26"/>
        <v>1.5246015246015246E-2</v>
      </c>
      <c r="P51" s="2">
        <f>ROUND((P43+P32)*LEFT(Q51,5),0)</f>
        <v>1465</v>
      </c>
      <c r="Q51" s="1240" t="str">
        <f>TEXT('MYP Assumptions'!G56,"0.00%")&amp;", no rate change"</f>
        <v>0.05%, no rate change</v>
      </c>
      <c r="S51" s="83">
        <f t="shared" si="27"/>
        <v>1.2286689419795221E-2</v>
      </c>
      <c r="T51" s="2">
        <f>ROUND((T43+T32)*LEFT(U51,5),0)</f>
        <v>1483</v>
      </c>
      <c r="U51" s="81" t="str">
        <f>TEXT('MYP Assumptions'!H56,"0.00%")&amp;", no rate change"</f>
        <v>0.05%, no rate change</v>
      </c>
      <c r="W51" s="83">
        <f t="shared" si="28"/>
        <v>1.8206338503034391E-2</v>
      </c>
      <c r="X51" s="2">
        <f>ROUND((X43+X32)*LEFT(Y51,5),0)</f>
        <v>1510</v>
      </c>
      <c r="Y51" s="81" t="str">
        <f>TEXT('MYP Assumptions'!I56,"0.00%")&amp;", no rate change"</f>
        <v>0.05%, no rate change</v>
      </c>
      <c r="AA51" s="83">
        <f t="shared" si="29"/>
        <v>1.7880794701986755E-2</v>
      </c>
      <c r="AB51" s="2">
        <f>ROUND((AB43+AB32)*LEFT(AC51,5),0)</f>
        <v>1537</v>
      </c>
      <c r="AC51" s="81" t="str">
        <f>TEXT('MYP Assumptions'!J56,"0.00%")&amp;", no rate change"</f>
        <v>0.05%, no rate change</v>
      </c>
    </row>
    <row r="52" spans="1:29" x14ac:dyDescent="0.25">
      <c r="A52" s="153"/>
      <c r="B52" s="1326" t="s">
        <v>89</v>
      </c>
      <c r="C52" s="1243" t="s">
        <v>82</v>
      </c>
      <c r="D52" s="2">
        <f>27370+2297</f>
        <v>29667</v>
      </c>
      <c r="E52" s="1240" t="str">
        <f>TEXT('MYP Assumptions'!$D$57,"0.00%")&amp;", W/C rate"</f>
        <v>1.10%, W/C rate</v>
      </c>
      <c r="F52" s="2"/>
      <c r="G52" s="1527">
        <f t="shared" si="24"/>
        <v>6.0167863282435029E-2</v>
      </c>
      <c r="H52" s="2">
        <f>28154+3298</f>
        <v>31452</v>
      </c>
      <c r="I52" s="1240" t="str">
        <f>TEXT('MYP Assumptions'!E57,"0.00%")&amp;", no rate change"</f>
        <v>1.10%, no rate change</v>
      </c>
      <c r="J52" s="66"/>
      <c r="K52" s="1527">
        <f t="shared" si="25"/>
        <v>9.3793717410657514E-3</v>
      </c>
      <c r="L52" s="2">
        <f>ROUND((L43+L32)*LEFT(M52,5),0)</f>
        <v>31747</v>
      </c>
      <c r="M52" s="1240" t="str">
        <f>TEXT('MYP Assumptions'!F57,"0.00%")&amp;", no rate change"</f>
        <v>1.10%, no rate change</v>
      </c>
      <c r="O52" s="1527">
        <f t="shared" si="26"/>
        <v>1.5182536932623555E-2</v>
      </c>
      <c r="P52" s="2">
        <f>ROUND((P43+P32)*LEFT(Q52,5),0)</f>
        <v>32229</v>
      </c>
      <c r="Q52" s="1240" t="str">
        <f>TEXT('MYP Assumptions'!G57,"0.00%")&amp;", no rate change"</f>
        <v>1.10%, no rate change</v>
      </c>
      <c r="S52" s="83">
        <f t="shared" si="27"/>
        <v>1.2566322256352975E-2</v>
      </c>
      <c r="T52" s="2">
        <f>ROUND((T43+T32)*LEFT(U52,5),0)</f>
        <v>32634</v>
      </c>
      <c r="U52" s="81" t="str">
        <f>TEXT('MYP Assumptions'!H57,"0.00%")&amp;", no rate change"</f>
        <v>1.10%, no rate change</v>
      </c>
      <c r="W52" s="83">
        <f t="shared" si="28"/>
        <v>1.7956732242446528E-2</v>
      </c>
      <c r="X52" s="2">
        <f>ROUND((X43+X32)*LEFT(Y52,5),0)</f>
        <v>33220</v>
      </c>
      <c r="Y52" s="81" t="str">
        <f>TEXT('MYP Assumptions'!I57,"0.00%")&amp;", no rate change"</f>
        <v>1.10%, no rate change</v>
      </c>
      <c r="AA52" s="83">
        <f t="shared" si="29"/>
        <v>1.803130644190247E-2</v>
      </c>
      <c r="AB52" s="2">
        <f>ROUND((AB43+AB32)*LEFT(AC52,5),0)</f>
        <v>33819</v>
      </c>
      <c r="AC52" s="81" t="str">
        <f>TEXT('MYP Assumptions'!J57,"0.00%")&amp;", no rate change"</f>
        <v>1.10%, no rate change</v>
      </c>
    </row>
    <row r="53" spans="1:29" x14ac:dyDescent="0.25">
      <c r="A53" s="153"/>
      <c r="B53" s="1326" t="s">
        <v>91</v>
      </c>
      <c r="C53" s="1243" t="s">
        <v>93</v>
      </c>
      <c r="D53" s="2">
        <f>11201+1236+2307</f>
        <v>14744</v>
      </c>
      <c r="E53" s="1249"/>
      <c r="F53" s="2"/>
      <c r="G53" s="1527">
        <f t="shared" ref="G53" si="30">IF(D53=0,"0.00%",(H53-D53)/D53)</f>
        <v>-3.0113944655453067E-2</v>
      </c>
      <c r="H53" s="2">
        <f>10500+1000+2800</f>
        <v>14300</v>
      </c>
      <c r="I53" s="1240"/>
      <c r="J53" s="66"/>
      <c r="K53" s="1527">
        <f t="shared" ref="K53" si="31">IF(H53=0,"0.00%",(L53-H53)/H53)</f>
        <v>0</v>
      </c>
      <c r="L53" s="2">
        <f>H53</f>
        <v>14300</v>
      </c>
      <c r="M53" s="1240" t="s">
        <v>166</v>
      </c>
      <c r="O53" s="1527">
        <f t="shared" ref="O53" si="32">IF(L53=0,"0.00%",(P53-L53)/L53)</f>
        <v>0</v>
      </c>
      <c r="P53" s="2">
        <f>L53</f>
        <v>14300</v>
      </c>
      <c r="Q53" s="1240" t="s">
        <v>166</v>
      </c>
      <c r="S53" s="83">
        <f t="shared" ref="S53" si="33">IF(P53=0,"0.00%",(T53-P53)/P53)</f>
        <v>0</v>
      </c>
      <c r="T53" s="2">
        <f>P53</f>
        <v>14300</v>
      </c>
      <c r="U53" s="81" t="s">
        <v>166</v>
      </c>
      <c r="W53" s="83">
        <f t="shared" ref="W53" si="34">IF(T53=0,"0.00%",(X53-T53)/T53)</f>
        <v>0</v>
      </c>
      <c r="X53" s="2">
        <f>T53</f>
        <v>14300</v>
      </c>
      <c r="Y53" s="81" t="s">
        <v>166</v>
      </c>
      <c r="AA53" s="83">
        <f t="shared" ref="AA53" si="35">IF(X53=0,"0.00%",(AB53-X53)/X53)</f>
        <v>0</v>
      </c>
      <c r="AB53" s="2">
        <f>X53</f>
        <v>14300</v>
      </c>
      <c r="AC53" s="81" t="s">
        <v>166</v>
      </c>
    </row>
    <row r="54" spans="1:29" hidden="1" x14ac:dyDescent="0.25">
      <c r="A54" s="153"/>
      <c r="B54" s="1326"/>
      <c r="E54" s="1249"/>
      <c r="F54" s="2"/>
      <c r="G54" s="1527"/>
      <c r="H54" s="2"/>
      <c r="I54" s="1240"/>
      <c r="J54" s="66"/>
      <c r="K54" s="1527"/>
      <c r="L54" s="2"/>
      <c r="M54" s="1240"/>
      <c r="O54" s="1527"/>
      <c r="Q54" s="1240"/>
      <c r="S54" s="83"/>
      <c r="T54" s="2"/>
      <c r="U54" s="81"/>
      <c r="W54" s="83"/>
      <c r="X54" s="2"/>
      <c r="Y54" s="81"/>
      <c r="AA54" s="83"/>
      <c r="AB54" s="2"/>
      <c r="AC54" s="81"/>
    </row>
    <row r="55" spans="1:29" x14ac:dyDescent="0.25">
      <c r="A55" s="154"/>
      <c r="B55" s="1326"/>
      <c r="D55" s="8">
        <f>SUM(D46:D54)</f>
        <v>682178</v>
      </c>
      <c r="E55" s="1249"/>
      <c r="F55" s="2"/>
      <c r="G55" s="1527">
        <f t="shared" si="24"/>
        <v>0.14196148219379692</v>
      </c>
      <c r="H55" s="8">
        <f>SUM(H46:H54)</f>
        <v>779021</v>
      </c>
      <c r="I55" s="1882">
        <f>+H55-D55</f>
        <v>96843</v>
      </c>
      <c r="J55" s="29"/>
      <c r="K55" s="1527">
        <f t="shared" si="25"/>
        <v>0.12024322835969763</v>
      </c>
      <c r="L55" s="8">
        <f>SUM(L46:L54)</f>
        <v>872693</v>
      </c>
      <c r="M55" s="1882">
        <f>+L55-H55</f>
        <v>93672</v>
      </c>
      <c r="O55" s="1527">
        <f t="shared" si="26"/>
        <v>9.8189168470470142E-2</v>
      </c>
      <c r="P55" s="8">
        <f>SUM(P46:P54)</f>
        <v>958382</v>
      </c>
      <c r="Q55" s="1882">
        <f>+P55-L55</f>
        <v>85689</v>
      </c>
      <c r="S55" s="83">
        <f t="shared" si="27"/>
        <v>6.776629778105181E-2</v>
      </c>
      <c r="T55" s="8">
        <f>SUM(T46:T54)</f>
        <v>1023328</v>
      </c>
      <c r="U55" s="73"/>
      <c r="W55" s="83">
        <f t="shared" si="28"/>
        <v>3.8987499609118487E-2</v>
      </c>
      <c r="X55" s="8">
        <f>SUM(X46:X54)</f>
        <v>1063225</v>
      </c>
      <c r="Y55" s="73"/>
      <c r="AA55" s="83">
        <f t="shared" si="29"/>
        <v>3.7920477791624538E-2</v>
      </c>
      <c r="AB55" s="8">
        <f>SUM(AB46:AB54)</f>
        <v>1103543</v>
      </c>
      <c r="AC55" s="73"/>
    </row>
    <row r="56" spans="1:29" x14ac:dyDescent="0.25">
      <c r="A56" s="155"/>
      <c r="B56" s="1326"/>
      <c r="E56" s="1249"/>
      <c r="F56" s="2"/>
      <c r="H56" s="2"/>
      <c r="I56" s="1257"/>
      <c r="J56" s="66"/>
      <c r="L56" s="2"/>
      <c r="M56" s="1335"/>
      <c r="Q56" s="1335"/>
      <c r="T56" s="2"/>
      <c r="U56" s="73"/>
      <c r="X56" s="2"/>
      <c r="Y56" s="73"/>
      <c r="AB56" s="2"/>
      <c r="AC56" s="73"/>
    </row>
    <row r="57" spans="1:29" x14ac:dyDescent="0.25">
      <c r="A57" s="154"/>
      <c r="B57" s="1323" t="s">
        <v>26</v>
      </c>
      <c r="D57" s="8">
        <f>SUM(D55,D43,D32)</f>
        <v>3385430</v>
      </c>
      <c r="E57" s="1249"/>
      <c r="F57" s="2"/>
      <c r="G57" s="1527">
        <f>IF(D57=0,"0.00%",(H57-D57)/D57)</f>
        <v>7.044393179005326E-2</v>
      </c>
      <c r="H57" s="8">
        <f>SUM(H55,H43,H32)</f>
        <v>3623913</v>
      </c>
      <c r="I57" s="1882">
        <f>+H57-D57</f>
        <v>238483</v>
      </c>
      <c r="J57" s="29"/>
      <c r="K57" s="1527">
        <f>IF(H57=0,"0.00%",(L57-H57)/H57)</f>
        <v>3.7213641718220059E-2</v>
      </c>
      <c r="L57" s="8">
        <f>SUM(L55,L43,L32)</f>
        <v>3758772</v>
      </c>
      <c r="M57" s="1882">
        <f>+L57-H57</f>
        <v>134859</v>
      </c>
      <c r="O57" s="1527">
        <f>IF(L57=0,"0.00%",(P57-L57)/L57)</f>
        <v>3.4466309741585814E-2</v>
      </c>
      <c r="P57" s="8">
        <f>SUM(P55,P43,P32)</f>
        <v>3888323</v>
      </c>
      <c r="Q57" s="1882">
        <f>+P57-L57</f>
        <v>129551</v>
      </c>
      <c r="S57" s="83">
        <f>IF(P57=0,"0.00%",(T57-P57)/P57)</f>
        <v>2.6158063514785165E-2</v>
      </c>
      <c r="T57" s="8">
        <f>SUM(T55,T43,T32)</f>
        <v>3990034</v>
      </c>
      <c r="U57" s="73"/>
      <c r="W57" s="83">
        <f>IF(T57=0,"0.00%",(X57-T57)/T57)</f>
        <v>2.3365715680618262E-2</v>
      </c>
      <c r="X57" s="8">
        <f>SUM(X55,X43,X32)</f>
        <v>4083264</v>
      </c>
      <c r="Y57" s="73"/>
      <c r="AA57" s="83">
        <f>IF(X57=0,"0.00%",(AB57-X57)/X57)</f>
        <v>2.3196148963182395E-2</v>
      </c>
      <c r="AB57" s="8">
        <f>SUM(AB55,AB43,AB32)</f>
        <v>4177980</v>
      </c>
      <c r="AC57" s="73"/>
    </row>
    <row r="58" spans="1:29" x14ac:dyDescent="0.25">
      <c r="A58" s="156"/>
      <c r="E58" s="1249"/>
      <c r="F58" s="2"/>
      <c r="H58" s="2"/>
      <c r="I58" s="1257"/>
      <c r="J58" s="66"/>
      <c r="L58" s="2"/>
      <c r="M58" s="1335"/>
      <c r="Q58" s="1335"/>
      <c r="T58" s="2"/>
      <c r="U58" s="73"/>
      <c r="X58" s="2"/>
      <c r="Y58" s="73"/>
      <c r="AB58" s="2"/>
      <c r="AC58" s="73"/>
    </row>
    <row r="59" spans="1:29" x14ac:dyDescent="0.25">
      <c r="A59" s="153"/>
      <c r="E59" s="1249"/>
      <c r="F59" s="2"/>
      <c r="H59" s="2"/>
      <c r="I59" s="1257"/>
      <c r="J59" s="66"/>
      <c r="L59" s="2"/>
      <c r="M59" s="1335"/>
      <c r="Q59" s="1335"/>
      <c r="T59" s="2"/>
      <c r="U59" s="73"/>
      <c r="X59" s="2"/>
      <c r="Y59" s="73"/>
      <c r="AB59" s="2"/>
      <c r="AC59" s="73"/>
    </row>
    <row r="60" spans="1:29" x14ac:dyDescent="0.25">
      <c r="A60" s="156"/>
      <c r="B60" s="1327" t="s">
        <v>25</v>
      </c>
      <c r="C60" s="1259"/>
      <c r="E60" s="1249"/>
      <c r="F60" s="2"/>
      <c r="H60" s="616"/>
      <c r="I60" s="1257"/>
      <c r="J60" s="66"/>
      <c r="L60" s="616"/>
      <c r="M60" s="1257"/>
      <c r="P60" s="616"/>
      <c r="Q60" s="1257"/>
      <c r="T60" s="2"/>
      <c r="U60" s="73"/>
      <c r="X60" s="2"/>
      <c r="Y60" s="73"/>
      <c r="AB60" s="2"/>
      <c r="AC60" s="73"/>
    </row>
    <row r="61" spans="1:29" x14ac:dyDescent="0.25">
      <c r="A61" s="153"/>
      <c r="B61" s="1326">
        <v>4310</v>
      </c>
      <c r="C61" s="1243" t="s">
        <v>428</v>
      </c>
      <c r="D61" s="108">
        <v>52727</v>
      </c>
      <c r="E61" s="1249"/>
      <c r="F61" s="2"/>
      <c r="G61" s="1527">
        <f t="shared" ref="G61:G71" si="36">IF(D61=0,"0.00%",(H61-D61)/D61)</f>
        <v>-0.43103153981830938</v>
      </c>
      <c r="H61" s="2">
        <v>30000</v>
      </c>
      <c r="I61" s="1257"/>
      <c r="J61" s="66"/>
      <c r="K61" s="1527">
        <f t="shared" ref="K61:K71" si="37">IF(H61=0,"0.00%",(L61-H61)/H61)</f>
        <v>-0.66666666666666663</v>
      </c>
      <c r="L61" s="2">
        <v>10000</v>
      </c>
      <c r="M61" s="1257"/>
      <c r="O61" s="1527">
        <f t="shared" ref="O61:O71" si="38">IF(L61=0,"0.00%",(P61-L61)/L61)</f>
        <v>0</v>
      </c>
      <c r="P61" s="2">
        <f>+L61*(1-$P$60)</f>
        <v>10000</v>
      </c>
      <c r="Q61" s="1257"/>
      <c r="S61" s="83">
        <f t="shared" ref="S61:S71" si="39">IF(P61=0,"0.00%",(T61-P61)/P61)</f>
        <v>2.7300000000000001E-2</v>
      </c>
      <c r="T61" s="2">
        <f>ROUND(P61*(LEFT(U61,5)+1),0)</f>
        <v>10273</v>
      </c>
      <c r="U61" s="81" t="str">
        <f>TEXT('MYP Assumptions'!H72,"0.00%")&amp;", CPI"</f>
        <v>2.73%, CPI</v>
      </c>
      <c r="W61" s="83">
        <f t="shared" ref="W61:W71" si="40">IF(T61=0,"0.00%",(X61-T61)/T61)</f>
        <v>2.7255913559816995E-2</v>
      </c>
      <c r="X61" s="2">
        <f>ROUND(T61*(LEFT(Y61,5)+1),0)</f>
        <v>10553</v>
      </c>
      <c r="Y61" s="81" t="str">
        <f>TEXT('MYP Assumptions'!I72,"0.00%")&amp;", CPI"</f>
        <v>2.73%, CPI</v>
      </c>
      <c r="AA61" s="83">
        <f t="shared" ref="AA61:AA71" si="41">IF(X61=0,"0.00%",(AB61-X61)/X61)</f>
        <v>2.7290817776935469E-2</v>
      </c>
      <c r="AB61" s="2">
        <f>ROUND(X61*(LEFT(AC61,5)+1),0)</f>
        <v>10841</v>
      </c>
      <c r="AC61" s="81" t="str">
        <f>TEXT('MYP Assumptions'!J72,"0.00%")&amp;", CPI"</f>
        <v>2.73%, CPI</v>
      </c>
    </row>
    <row r="62" spans="1:29" x14ac:dyDescent="0.25">
      <c r="A62" s="153"/>
      <c r="B62" s="1326">
        <v>4400</v>
      </c>
      <c r="C62" s="1243" t="s">
        <v>427</v>
      </c>
      <c r="D62" s="108">
        <v>14893</v>
      </c>
      <c r="E62" s="1249"/>
      <c r="F62" s="2"/>
      <c r="G62" s="1527">
        <f t="shared" si="36"/>
        <v>0.67864097226885112</v>
      </c>
      <c r="H62" s="2">
        <v>25000</v>
      </c>
      <c r="I62" s="1257"/>
      <c r="J62" s="66"/>
      <c r="K62" s="1527">
        <f t="shared" si="37"/>
        <v>-0.8</v>
      </c>
      <c r="L62" s="2">
        <v>5000</v>
      </c>
      <c r="M62" s="1257"/>
      <c r="O62" s="1527">
        <f t="shared" si="38"/>
        <v>0</v>
      </c>
      <c r="P62" s="2">
        <f>+L62</f>
        <v>5000</v>
      </c>
      <c r="Q62" s="1257"/>
      <c r="S62" s="83">
        <f t="shared" si="39"/>
        <v>2.7400000000000001E-2</v>
      </c>
      <c r="T62" s="2">
        <f t="shared" ref="T62:T70" si="42">ROUND(P62*(LEFT(U62,5)+1),0)</f>
        <v>5137</v>
      </c>
      <c r="U62" s="81" t="str">
        <f>TEXT('MYP Assumptions'!H72,"0.00%")&amp;", CPI"</f>
        <v>2.73%, CPI</v>
      </c>
      <c r="W62" s="83">
        <f t="shared" si="40"/>
        <v>2.7253260657971578E-2</v>
      </c>
      <c r="X62" s="2">
        <f t="shared" ref="X62:X70" si="43">ROUND(T62*(LEFT(Y62,5)+1),0)</f>
        <v>5277</v>
      </c>
      <c r="Y62" s="81" t="str">
        <f>TEXT('MYP Assumptions'!I72,"0.00%")&amp;", CPI"</f>
        <v>2.73%, CPI</v>
      </c>
      <c r="AA62" s="83">
        <f t="shared" si="41"/>
        <v>2.7288231949971573E-2</v>
      </c>
      <c r="AB62" s="2">
        <f t="shared" ref="AB62:AB70" si="44">ROUND(X62*(LEFT(AC62,5)+1),0)</f>
        <v>5421</v>
      </c>
      <c r="AC62" s="81" t="str">
        <f>TEXT('MYP Assumptions'!J72,"0.00%")&amp;", CPI"</f>
        <v>2.73%, CPI</v>
      </c>
    </row>
    <row r="63" spans="1:29" x14ac:dyDescent="0.25">
      <c r="A63" s="153"/>
      <c r="B63" s="1326">
        <v>4310</v>
      </c>
      <c r="C63" s="1243" t="s">
        <v>876</v>
      </c>
      <c r="D63" s="108">
        <v>62505</v>
      </c>
      <c r="E63" s="1249"/>
      <c r="F63" s="2"/>
      <c r="G63" s="1527">
        <f t="shared" si="36"/>
        <v>0.10879129669626431</v>
      </c>
      <c r="H63" s="2">
        <v>69305</v>
      </c>
      <c r="I63" s="1257"/>
      <c r="J63" s="66"/>
      <c r="K63" s="1527">
        <f t="shared" si="37"/>
        <v>-0.27855133107279417</v>
      </c>
      <c r="L63" s="2">
        <v>50000</v>
      </c>
      <c r="M63" s="1257"/>
      <c r="O63" s="1527">
        <f t="shared" si="38"/>
        <v>0</v>
      </c>
      <c r="P63" s="2">
        <f t="shared" ref="P63:P67" si="45">+L63*(1-$P$60)</f>
        <v>50000</v>
      </c>
      <c r="Q63" s="1257"/>
      <c r="S63" s="83">
        <f t="shared" si="39"/>
        <v>2.7300000000000001E-2</v>
      </c>
      <c r="T63" s="2">
        <f t="shared" si="42"/>
        <v>51365</v>
      </c>
      <c r="U63" s="81" t="str">
        <f>TEXT('MYP Assumptions'!H72,"0.00%")&amp;", CPI"</f>
        <v>2.73%, CPI</v>
      </c>
      <c r="W63" s="83">
        <f t="shared" si="40"/>
        <v>2.7294850579188162E-2</v>
      </c>
      <c r="X63" s="2">
        <f t="shared" si="43"/>
        <v>52767</v>
      </c>
      <c r="Y63" s="81" t="str">
        <f>TEXT('MYP Assumptions'!I72,"0.00%")&amp;", CPI"</f>
        <v>2.73%, CPI</v>
      </c>
      <c r="AA63" s="83">
        <f t="shared" si="41"/>
        <v>2.7308734625807796E-2</v>
      </c>
      <c r="AB63" s="2">
        <f t="shared" si="44"/>
        <v>54208</v>
      </c>
      <c r="AC63" s="81" t="str">
        <f>TEXT('MYP Assumptions'!J72,"0.00%")&amp;", CPI"</f>
        <v>2.73%, CPI</v>
      </c>
    </row>
    <row r="64" spans="1:29" x14ac:dyDescent="0.25">
      <c r="A64" s="153"/>
      <c r="B64" s="1326">
        <v>4400</v>
      </c>
      <c r="C64" s="1243" t="s">
        <v>877</v>
      </c>
      <c r="D64" s="2">
        <v>172400</v>
      </c>
      <c r="E64" s="1249"/>
      <c r="F64" s="2"/>
      <c r="G64" s="1527">
        <f t="shared" si="36"/>
        <v>0.52552204176334105</v>
      </c>
      <c r="H64" s="2">
        <v>263000</v>
      </c>
      <c r="I64" s="1257"/>
      <c r="J64" s="66"/>
      <c r="K64" s="1527">
        <f t="shared" si="37"/>
        <v>-0.61977186311787069</v>
      </c>
      <c r="L64" s="2">
        <v>100000</v>
      </c>
      <c r="M64" s="1257"/>
      <c r="O64" s="1527">
        <f t="shared" si="38"/>
        <v>0</v>
      </c>
      <c r="P64" s="2">
        <f t="shared" si="45"/>
        <v>100000</v>
      </c>
      <c r="Q64" s="1257"/>
      <c r="S64" s="83">
        <f t="shared" si="39"/>
        <v>2.7300000000000001E-2</v>
      </c>
      <c r="T64" s="2">
        <f t="shared" si="42"/>
        <v>102730</v>
      </c>
      <c r="U64" s="81" t="str">
        <f>TEXT('MYP Assumptions'!H72,"0.00%")&amp;", CPI"</f>
        <v>2.73%, CPI</v>
      </c>
      <c r="W64" s="83">
        <f t="shared" si="40"/>
        <v>2.7304584834030955E-2</v>
      </c>
      <c r="X64" s="2">
        <f t="shared" si="43"/>
        <v>105535</v>
      </c>
      <c r="Y64" s="81" t="str">
        <f>TEXT('MYP Assumptions'!I72,"0.00%")&amp;", CPI"</f>
        <v>2.73%, CPI</v>
      </c>
      <c r="AA64" s="83">
        <f t="shared" si="41"/>
        <v>2.7299000331643529E-2</v>
      </c>
      <c r="AB64" s="2">
        <f t="shared" si="44"/>
        <v>108416</v>
      </c>
      <c r="AC64" s="81" t="str">
        <f>TEXT('MYP Assumptions'!J72,"0.00%")&amp;", CPI"</f>
        <v>2.73%, CPI</v>
      </c>
    </row>
    <row r="65" spans="1:29" hidden="1" x14ac:dyDescent="0.25">
      <c r="A65" s="153"/>
      <c r="B65" s="1326">
        <v>4354</v>
      </c>
      <c r="E65" s="1249"/>
      <c r="F65" s="2"/>
      <c r="G65" s="1527" t="str">
        <f t="shared" si="36"/>
        <v>0.00%</v>
      </c>
      <c r="H65" s="2">
        <f t="shared" ref="H65:H70" si="46">+D65*(1-$H$60)</f>
        <v>0</v>
      </c>
      <c r="I65" s="1257"/>
      <c r="J65" s="66"/>
      <c r="K65" s="1527" t="str">
        <f t="shared" si="37"/>
        <v>0.00%</v>
      </c>
      <c r="L65" s="2">
        <f t="shared" ref="L65:L66" si="47">+H65*(1-$L$60)</f>
        <v>0</v>
      </c>
      <c r="M65" s="1257"/>
      <c r="O65" s="1527" t="str">
        <f t="shared" si="38"/>
        <v>0.00%</v>
      </c>
      <c r="P65" s="2">
        <f t="shared" si="45"/>
        <v>0</v>
      </c>
      <c r="Q65" s="1257"/>
      <c r="S65" s="83" t="str">
        <f t="shared" si="39"/>
        <v>0.00%</v>
      </c>
      <c r="T65" s="2">
        <f t="shared" si="42"/>
        <v>0</v>
      </c>
      <c r="U65" s="81" t="str">
        <f>TEXT('MYP Assumptions'!H72,"0.00%")&amp;", CPI"</f>
        <v>2.73%, CPI</v>
      </c>
      <c r="W65" s="83" t="str">
        <f t="shared" si="40"/>
        <v>0.00%</v>
      </c>
      <c r="X65" s="2">
        <f t="shared" si="43"/>
        <v>0</v>
      </c>
      <c r="Y65" s="81" t="str">
        <f>TEXT('MYP Assumptions'!I72,"0.00%")&amp;", CPI"</f>
        <v>2.73%, CPI</v>
      </c>
      <c r="AA65" s="83" t="str">
        <f t="shared" si="41"/>
        <v>0.00%</v>
      </c>
      <c r="AB65" s="2">
        <f t="shared" si="44"/>
        <v>0</v>
      </c>
      <c r="AC65" s="81" t="str">
        <f>TEXT('MYP Assumptions'!J72,"0.00%")&amp;", CPI"</f>
        <v>2.73%, CPI</v>
      </c>
    </row>
    <row r="66" spans="1:29" hidden="1" x14ac:dyDescent="0.25">
      <c r="A66" s="153"/>
      <c r="B66" s="1326">
        <v>4353</v>
      </c>
      <c r="E66" s="1249"/>
      <c r="F66" s="2"/>
      <c r="G66" s="1527" t="str">
        <f t="shared" si="36"/>
        <v>0.00%</v>
      </c>
      <c r="H66" s="2">
        <f t="shared" si="46"/>
        <v>0</v>
      </c>
      <c r="I66" s="1257"/>
      <c r="J66" s="66"/>
      <c r="K66" s="1527" t="str">
        <f t="shared" si="37"/>
        <v>0.00%</v>
      </c>
      <c r="L66" s="2">
        <f t="shared" si="47"/>
        <v>0</v>
      </c>
      <c r="M66" s="1257"/>
      <c r="O66" s="1527" t="str">
        <f t="shared" si="38"/>
        <v>0.00%</v>
      </c>
      <c r="P66" s="2">
        <f t="shared" si="45"/>
        <v>0</v>
      </c>
      <c r="Q66" s="1257"/>
      <c r="S66" s="83" t="str">
        <f t="shared" si="39"/>
        <v>0.00%</v>
      </c>
      <c r="T66" s="2">
        <f t="shared" si="42"/>
        <v>0</v>
      </c>
      <c r="U66" s="81" t="str">
        <f>TEXT('MYP Assumptions'!H72,"0.00%")&amp;", CPI"</f>
        <v>2.73%, CPI</v>
      </c>
      <c r="W66" s="83" t="str">
        <f t="shared" si="40"/>
        <v>0.00%</v>
      </c>
      <c r="X66" s="2">
        <f t="shared" si="43"/>
        <v>0</v>
      </c>
      <c r="Y66" s="81" t="str">
        <f>TEXT('MYP Assumptions'!I72,"0.00%")&amp;", CPI"</f>
        <v>2.73%, CPI</v>
      </c>
      <c r="AA66" s="83" t="str">
        <f t="shared" si="41"/>
        <v>0.00%</v>
      </c>
      <c r="AB66" s="2">
        <f t="shared" si="44"/>
        <v>0</v>
      </c>
      <c r="AC66" s="81" t="str">
        <f>TEXT('MYP Assumptions'!J72,"0.00%")&amp;", CPI"</f>
        <v>2.73%, CPI</v>
      </c>
    </row>
    <row r="67" spans="1:29" x14ac:dyDescent="0.25">
      <c r="A67" s="153"/>
      <c r="B67" s="1326" t="s">
        <v>429</v>
      </c>
      <c r="C67" s="1243" t="s">
        <v>878</v>
      </c>
      <c r="D67" s="2">
        <v>14650</v>
      </c>
      <c r="E67" s="1249"/>
      <c r="F67" s="2"/>
      <c r="G67" s="1527">
        <f t="shared" ref="G67" si="48">IF(D67=0,"0.00%",(H67-D67)/D67)</f>
        <v>-5.4607508532423209E-2</v>
      </c>
      <c r="H67" s="2">
        <v>13850</v>
      </c>
      <c r="I67" s="1257"/>
      <c r="J67" s="66"/>
      <c r="K67" s="1527">
        <f t="shared" ref="K67:K70" si="49">IF(H67=0,"0.00%",(L67-H67)/H67)</f>
        <v>-0.63898916967509023</v>
      </c>
      <c r="L67" s="2">
        <v>5000</v>
      </c>
      <c r="M67" s="1257"/>
      <c r="O67" s="1527">
        <f t="shared" si="38"/>
        <v>0</v>
      </c>
      <c r="P67" s="2">
        <f t="shared" si="45"/>
        <v>5000</v>
      </c>
      <c r="Q67" s="1257"/>
      <c r="S67" s="83"/>
      <c r="T67" s="2"/>
      <c r="U67" s="81"/>
      <c r="W67" s="83"/>
      <c r="X67" s="2"/>
      <c r="Y67" s="81"/>
      <c r="AA67" s="83"/>
      <c r="AB67" s="2"/>
      <c r="AC67" s="81"/>
    </row>
    <row r="68" spans="1:29" x14ac:dyDescent="0.25">
      <c r="A68" s="153"/>
      <c r="B68" s="1326"/>
      <c r="E68" s="1249"/>
      <c r="F68" s="2"/>
      <c r="G68" s="1527"/>
      <c r="H68" s="2"/>
      <c r="I68" s="1257"/>
      <c r="J68" s="66"/>
      <c r="K68" s="1527"/>
      <c r="L68" s="2"/>
      <c r="M68" s="1257"/>
      <c r="O68" s="1527"/>
      <c r="Q68" s="1257"/>
      <c r="S68" s="83"/>
      <c r="T68" s="2"/>
      <c r="U68" s="81"/>
      <c r="W68" s="83"/>
      <c r="X68" s="2"/>
      <c r="Y68" s="81"/>
      <c r="AA68" s="83"/>
      <c r="AB68" s="2"/>
      <c r="AC68" s="81"/>
    </row>
    <row r="69" spans="1:29" hidden="1" x14ac:dyDescent="0.25">
      <c r="A69" s="153"/>
      <c r="B69" s="1326"/>
      <c r="E69" s="1249"/>
      <c r="F69" s="2"/>
      <c r="G69" s="1527" t="str">
        <f t="shared" ref="G69:G70" si="50">IF(D69=0,"0.00%",(H69-D69)/D69)</f>
        <v>0.00%</v>
      </c>
      <c r="H69" s="2">
        <f t="shared" si="46"/>
        <v>0</v>
      </c>
      <c r="I69" s="1257" t="str">
        <f t="shared" ref="I69:I70" si="51">TEXT($H$60,"0.00%")&amp;"   reduction"</f>
        <v>0.00%   reduction</v>
      </c>
      <c r="J69" s="66"/>
      <c r="K69" s="1527" t="str">
        <f t="shared" si="49"/>
        <v>0.00%</v>
      </c>
      <c r="L69" s="2">
        <f t="shared" ref="L69:L70" si="52">ROUND(H69*(LEFT(M69,5)+1),0)</f>
        <v>0</v>
      </c>
      <c r="M69" s="1240" t="str">
        <f>TEXT('MYP Assumptions'!$F$72,"0.00%")&amp;", CPI"</f>
        <v>3.19%, CPI</v>
      </c>
      <c r="O69" s="1527" t="str">
        <f t="shared" si="38"/>
        <v>0.00%</v>
      </c>
      <c r="P69" s="2">
        <f t="shared" ref="P69:P70" si="53">ROUND(L69*(LEFT(Q69,5)+1),0)</f>
        <v>0</v>
      </c>
      <c r="Q69" s="1240" t="str">
        <f>TEXT('MYP Assumptions'!$G$72,"0.00%")&amp;", CPI"</f>
        <v>2.86%, CPI</v>
      </c>
      <c r="S69" s="83"/>
      <c r="T69" s="2"/>
      <c r="U69" s="81"/>
      <c r="W69" s="83"/>
      <c r="X69" s="2"/>
      <c r="Y69" s="81"/>
      <c r="AA69" s="83"/>
      <c r="AB69" s="2"/>
      <c r="AC69" s="81"/>
    </row>
    <row r="70" spans="1:29" hidden="1" x14ac:dyDescent="0.25">
      <c r="A70" s="153"/>
      <c r="B70" s="1326"/>
      <c r="E70" s="1249"/>
      <c r="F70" s="2"/>
      <c r="G70" s="1527" t="str">
        <f t="shared" si="50"/>
        <v>0.00%</v>
      </c>
      <c r="H70" s="2">
        <f t="shared" si="46"/>
        <v>0</v>
      </c>
      <c r="I70" s="1257" t="str">
        <f t="shared" si="51"/>
        <v>0.00%   reduction</v>
      </c>
      <c r="J70" s="66"/>
      <c r="K70" s="1527" t="str">
        <f t="shared" si="49"/>
        <v>0.00%</v>
      </c>
      <c r="L70" s="2">
        <f t="shared" si="52"/>
        <v>0</v>
      </c>
      <c r="M70" s="1240" t="str">
        <f>TEXT('MYP Assumptions'!$F$72,"0.00%")&amp;", CPI"</f>
        <v>3.19%, CPI</v>
      </c>
      <c r="O70" s="1527" t="str">
        <f t="shared" si="38"/>
        <v>0.00%</v>
      </c>
      <c r="P70" s="2">
        <f t="shared" si="53"/>
        <v>0</v>
      </c>
      <c r="Q70" s="1240" t="str">
        <f>TEXT('MYP Assumptions'!$G$72,"0.00%")&amp;", CPI"</f>
        <v>2.86%, CPI</v>
      </c>
      <c r="S70" s="83" t="str">
        <f t="shared" si="39"/>
        <v>0.00%</v>
      </c>
      <c r="T70" s="2">
        <f t="shared" si="42"/>
        <v>0</v>
      </c>
      <c r="U70" s="81" t="str">
        <f>TEXT('MYP Assumptions'!H72,"0.00%")&amp;", CPI"</f>
        <v>2.73%, CPI</v>
      </c>
      <c r="W70" s="83" t="str">
        <f t="shared" si="40"/>
        <v>0.00%</v>
      </c>
      <c r="X70" s="2">
        <f t="shared" si="43"/>
        <v>0</v>
      </c>
      <c r="Y70" s="81" t="str">
        <f>TEXT('MYP Assumptions'!I72,"0.00%")&amp;", CPI"</f>
        <v>2.73%, CPI</v>
      </c>
      <c r="AA70" s="83" t="str">
        <f t="shared" si="41"/>
        <v>0.00%</v>
      </c>
      <c r="AB70" s="2">
        <f t="shared" si="44"/>
        <v>0</v>
      </c>
      <c r="AC70" s="81" t="str">
        <f>TEXT('MYP Assumptions'!J72,"0.00%")&amp;", CPI"</f>
        <v>2.73%, CPI</v>
      </c>
    </row>
    <row r="71" spans="1:29" x14ac:dyDescent="0.25">
      <c r="A71" s="154"/>
      <c r="B71" s="1243"/>
      <c r="D71" s="8">
        <f>SUM(D61:D70)</f>
        <v>317175</v>
      </c>
      <c r="E71" s="1249"/>
      <c r="F71" s="2"/>
      <c r="G71" s="1527">
        <f t="shared" si="36"/>
        <v>0.26477496650114291</v>
      </c>
      <c r="H71" s="8">
        <f>SUM(H61:H70)</f>
        <v>401155</v>
      </c>
      <c r="I71" s="1882">
        <f>+H71-D71</f>
        <v>83980</v>
      </c>
      <c r="J71" s="29"/>
      <c r="K71" s="1527">
        <f t="shared" si="37"/>
        <v>-0.57622365419850186</v>
      </c>
      <c r="L71" s="8">
        <f>SUM(L61:L70)</f>
        <v>170000</v>
      </c>
      <c r="M71" s="1882">
        <f>+L71-H71</f>
        <v>-231155</v>
      </c>
      <c r="O71" s="1527">
        <f t="shared" si="38"/>
        <v>0</v>
      </c>
      <c r="P71" s="8">
        <f>SUM(P61:P70)</f>
        <v>170000</v>
      </c>
      <c r="Q71" s="1882">
        <f>+P71-L71</f>
        <v>0</v>
      </c>
      <c r="S71" s="83">
        <f t="shared" si="39"/>
        <v>-2.9117647058823528E-3</v>
      </c>
      <c r="T71" s="8">
        <f>SUM(T61:T70)</f>
        <v>169505</v>
      </c>
      <c r="U71" s="73"/>
      <c r="W71" s="83">
        <f t="shared" si="40"/>
        <v>2.7297129878174686E-2</v>
      </c>
      <c r="X71" s="8">
        <f>SUM(X61:X70)</f>
        <v>174132</v>
      </c>
      <c r="Y71" s="73"/>
      <c r="AA71" s="83">
        <f t="shared" si="41"/>
        <v>2.7301127879999082E-2</v>
      </c>
      <c r="AB71" s="8">
        <f>SUM(AB61:AB70)</f>
        <v>178886</v>
      </c>
      <c r="AC71" s="73"/>
    </row>
    <row r="72" spans="1:29" x14ac:dyDescent="0.25">
      <c r="A72" s="153"/>
      <c r="E72" s="1249"/>
      <c r="F72" s="2"/>
      <c r="H72" s="2"/>
      <c r="I72" s="1257"/>
      <c r="J72" s="66"/>
      <c r="L72" s="2"/>
      <c r="M72" s="1335"/>
      <c r="Q72" s="1335"/>
      <c r="T72" s="2"/>
      <c r="U72" s="73"/>
      <c r="X72" s="2"/>
      <c r="Y72" s="73"/>
      <c r="AB72" s="2"/>
      <c r="AC72" s="73"/>
    </row>
    <row r="73" spans="1:29" s="4" customFormat="1" x14ac:dyDescent="0.25">
      <c r="A73" s="151"/>
      <c r="B73" s="1323" t="s">
        <v>16</v>
      </c>
      <c r="C73" s="1259"/>
      <c r="D73" s="6"/>
      <c r="E73" s="1250"/>
      <c r="F73" s="6"/>
      <c r="G73" s="1539"/>
      <c r="H73" s="616"/>
      <c r="I73" s="1259"/>
      <c r="J73" s="58"/>
      <c r="K73" s="1571"/>
      <c r="L73" s="6"/>
      <c r="M73" s="1337"/>
      <c r="O73" s="1571"/>
      <c r="P73" s="6"/>
      <c r="Q73" s="1337"/>
      <c r="R73" s="111"/>
      <c r="U73" s="71"/>
      <c r="Y73" s="71"/>
      <c r="AC73" s="71"/>
    </row>
    <row r="74" spans="1:29" x14ac:dyDescent="0.25">
      <c r="A74" s="153"/>
      <c r="B74" s="1326">
        <v>5130</v>
      </c>
      <c r="C74" s="1243" t="s">
        <v>431</v>
      </c>
      <c r="D74" s="2">
        <v>101929</v>
      </c>
      <c r="E74" s="1249"/>
      <c r="F74" s="2"/>
      <c r="G74" s="1527">
        <f t="shared" ref="G74:G79" si="54">IF(D74=0,"0.00%",(H74-D74)/D74)</f>
        <v>0.15766857322253724</v>
      </c>
      <c r="H74" s="2">
        <v>118000</v>
      </c>
      <c r="I74" s="1240"/>
      <c r="J74" s="66"/>
      <c r="K74" s="1527">
        <f t="shared" ref="K74:K87" si="55">IF(H74=0,"0.00%",(L74-H74)/H74)</f>
        <v>0</v>
      </c>
      <c r="L74" s="2">
        <f>+H74</f>
        <v>118000</v>
      </c>
      <c r="M74" s="1240"/>
      <c r="O74" s="1527">
        <f t="shared" ref="O74:O87" si="56">IF(L74=0,"0.00%",(P74-L74)/L74)</f>
        <v>0</v>
      </c>
      <c r="P74" s="2">
        <f>+L74</f>
        <v>118000</v>
      </c>
      <c r="Q74" s="1240"/>
      <c r="S74" s="83">
        <f t="shared" ref="S74:S87" si="57">IF(P74=0,"0.00%",(T74-P74)/P74)</f>
        <v>2.7296610169491524E-2</v>
      </c>
      <c r="T74" s="2">
        <f>ROUND(P74*(LEFT(U74,5)+1),0)</f>
        <v>121221</v>
      </c>
      <c r="U74" s="81" t="str">
        <f>TEXT('MYP Assumptions'!H72,"0.00%")&amp;", CPI"</f>
        <v>2.73%, CPI</v>
      </c>
      <c r="W74" s="83">
        <f t="shared" ref="W74:W87" si="58">IF(T74=0,"0.00%",(X74-T74)/T74)</f>
        <v>2.7297250476402603E-2</v>
      </c>
      <c r="X74" s="2">
        <f>ROUND(T74*(LEFT(Y74,5)+1),0)</f>
        <v>124530</v>
      </c>
      <c r="Y74" s="81" t="str">
        <f>TEXT('MYP Assumptions'!I72,"0.00%")&amp;", CPI"</f>
        <v>2.73%, CPI</v>
      </c>
      <c r="AA74" s="83">
        <f t="shared" ref="AA74:AA87" si="59">IF(X74=0,"0.00%",(AB74-X74)/X74)</f>
        <v>2.7302657994057657E-2</v>
      </c>
      <c r="AB74" s="2">
        <f>ROUND(X74*(LEFT(AC74,5)+1),0)</f>
        <v>127930</v>
      </c>
      <c r="AC74" s="81" t="str">
        <f>TEXT('MYP Assumptions'!J72,"0.00%")&amp;", CPI"</f>
        <v>2.73%, CPI</v>
      </c>
    </row>
    <row r="75" spans="1:29" x14ac:dyDescent="0.25">
      <c r="A75" s="153"/>
      <c r="B75" s="1326" t="s">
        <v>432</v>
      </c>
      <c r="C75" s="1243" t="s">
        <v>430</v>
      </c>
      <c r="D75" s="2">
        <f>108+46921</f>
        <v>47029</v>
      </c>
      <c r="E75" s="1249"/>
      <c r="F75" s="2"/>
      <c r="G75" s="1527">
        <f t="shared" si="54"/>
        <v>0.12809117778392057</v>
      </c>
      <c r="H75" s="2">
        <f>108+52945</f>
        <v>53053</v>
      </c>
      <c r="I75" s="1240"/>
      <c r="J75" s="66"/>
      <c r="K75" s="1527">
        <f t="shared" si="55"/>
        <v>-0.52877311367877411</v>
      </c>
      <c r="L75" s="2">
        <v>25000</v>
      </c>
      <c r="M75" s="1240"/>
      <c r="O75" s="1527">
        <f t="shared" si="56"/>
        <v>0</v>
      </c>
      <c r="P75" s="2">
        <f t="shared" ref="P75:P84" si="60">+L75</f>
        <v>25000</v>
      </c>
      <c r="Q75" s="1240"/>
      <c r="S75" s="83">
        <f t="shared" si="57"/>
        <v>2.7320000000000001E-2</v>
      </c>
      <c r="T75" s="2">
        <f t="shared" ref="T75:T85" si="61">ROUND(P75*(LEFT(U75,5)+1),0)</f>
        <v>25683</v>
      </c>
      <c r="U75" s="81" t="str">
        <f>TEXT('MYP Assumptions'!H72,"0.00%")&amp;", CPI"</f>
        <v>2.73%, CPI</v>
      </c>
      <c r="W75" s="83">
        <f t="shared" si="58"/>
        <v>2.7294319199470465E-2</v>
      </c>
      <c r="X75" s="2">
        <f t="shared" ref="X75:X85" si="62">ROUND(T75*(LEFT(Y75,5)+1),0)</f>
        <v>26384</v>
      </c>
      <c r="Y75" s="81" t="str">
        <f>TEXT('MYP Assumptions'!I72,"0.00%")&amp;", CPI"</f>
        <v>2.73%, CPI</v>
      </c>
      <c r="AA75" s="83">
        <f t="shared" si="59"/>
        <v>2.7289266221952699E-2</v>
      </c>
      <c r="AB75" s="2">
        <f t="shared" ref="AB75:AB85" si="63">ROUND(X75*(LEFT(AC75,5)+1),0)</f>
        <v>27104</v>
      </c>
      <c r="AC75" s="81" t="str">
        <f>TEXT('MYP Assumptions'!J72,"0.00%")&amp;", CPI"</f>
        <v>2.73%, CPI</v>
      </c>
    </row>
    <row r="76" spans="1:29" x14ac:dyDescent="0.25">
      <c r="A76" s="153"/>
      <c r="B76" s="1326">
        <v>5310</v>
      </c>
      <c r="C76" s="1243" t="s">
        <v>12</v>
      </c>
      <c r="D76" s="2">
        <v>750</v>
      </c>
      <c r="E76" s="1249"/>
      <c r="F76" s="2"/>
      <c r="G76" s="1527">
        <f t="shared" si="54"/>
        <v>0</v>
      </c>
      <c r="H76" s="2">
        <v>750</v>
      </c>
      <c r="I76" s="1240"/>
      <c r="J76" s="66"/>
      <c r="K76" s="1527">
        <f t="shared" si="55"/>
        <v>-0.33333333333333331</v>
      </c>
      <c r="L76" s="2">
        <v>500</v>
      </c>
      <c r="M76" s="1240"/>
      <c r="O76" s="1527">
        <f t="shared" si="56"/>
        <v>0</v>
      </c>
      <c r="P76" s="2">
        <f t="shared" si="60"/>
        <v>500</v>
      </c>
      <c r="Q76" s="1240"/>
      <c r="S76" s="83">
        <f t="shared" si="57"/>
        <v>2.8000000000000001E-2</v>
      </c>
      <c r="T76" s="2">
        <f t="shared" si="61"/>
        <v>514</v>
      </c>
      <c r="U76" s="81" t="str">
        <f>TEXT('MYP Assumptions'!H72,"0.00%")&amp;", CPI"</f>
        <v>2.73%, CPI</v>
      </c>
      <c r="W76" s="83">
        <f t="shared" si="58"/>
        <v>2.7237354085603113E-2</v>
      </c>
      <c r="X76" s="2">
        <f t="shared" si="62"/>
        <v>528</v>
      </c>
      <c r="Y76" s="81" t="str">
        <f>TEXT('MYP Assumptions'!I72,"0.00%")&amp;", CPI"</f>
        <v>2.73%, CPI</v>
      </c>
      <c r="AA76" s="83">
        <f t="shared" si="59"/>
        <v>2.6515151515151516E-2</v>
      </c>
      <c r="AB76" s="2">
        <f t="shared" si="63"/>
        <v>542</v>
      </c>
      <c r="AC76" s="81" t="str">
        <f>TEXT('MYP Assumptions'!J72,"0.00%")&amp;", CPI"</f>
        <v>2.73%, CPI</v>
      </c>
    </row>
    <row r="77" spans="1:29" x14ac:dyDescent="0.25">
      <c r="A77" s="153"/>
      <c r="B77" s="1326" t="s">
        <v>433</v>
      </c>
      <c r="C77" s="1243" t="s">
        <v>434</v>
      </c>
      <c r="D77" s="2">
        <f>600+132130</f>
        <v>132730</v>
      </c>
      <c r="E77" s="1249"/>
      <c r="F77" s="2"/>
      <c r="G77" s="1527">
        <f t="shared" si="54"/>
        <v>-0.44430045957959768</v>
      </c>
      <c r="H77" s="2">
        <f>600+73158</f>
        <v>73758</v>
      </c>
      <c r="I77" s="1240"/>
      <c r="J77" s="66"/>
      <c r="K77" s="1527">
        <f t="shared" si="55"/>
        <v>-0.32210743241411099</v>
      </c>
      <c r="L77" s="2">
        <v>50000</v>
      </c>
      <c r="M77" s="1240"/>
      <c r="O77" s="1527">
        <f t="shared" si="56"/>
        <v>0</v>
      </c>
      <c r="P77" s="2">
        <f t="shared" si="60"/>
        <v>50000</v>
      </c>
      <c r="Q77" s="1240"/>
      <c r="S77" s="83">
        <f t="shared" si="57"/>
        <v>2.7300000000000001E-2</v>
      </c>
      <c r="T77" s="2">
        <f t="shared" si="61"/>
        <v>51365</v>
      </c>
      <c r="U77" s="81" t="str">
        <f>TEXT('MYP Assumptions'!H72,"0.00%")&amp;", CPI"</f>
        <v>2.73%, CPI</v>
      </c>
      <c r="W77" s="83">
        <f t="shared" si="58"/>
        <v>2.7294850579188162E-2</v>
      </c>
      <c r="X77" s="2">
        <f t="shared" si="62"/>
        <v>52767</v>
      </c>
      <c r="Y77" s="81" t="str">
        <f>TEXT('MYP Assumptions'!I72,"0.00%")&amp;", CPI"</f>
        <v>2.73%, CPI</v>
      </c>
      <c r="AA77" s="83">
        <f t="shared" si="59"/>
        <v>2.7308734625807796E-2</v>
      </c>
      <c r="AB77" s="2">
        <f t="shared" si="63"/>
        <v>54208</v>
      </c>
      <c r="AC77" s="81" t="str">
        <f>TEXT('MYP Assumptions'!J72,"0.00%")&amp;", CPI"</f>
        <v>2.73%, CPI</v>
      </c>
    </row>
    <row r="78" spans="1:29" x14ac:dyDescent="0.25">
      <c r="A78" s="153"/>
      <c r="B78" s="1326">
        <v>5725</v>
      </c>
      <c r="C78" s="1243" t="s">
        <v>435</v>
      </c>
      <c r="D78" s="2">
        <v>43182</v>
      </c>
      <c r="E78" s="1249"/>
      <c r="F78" s="2"/>
      <c r="G78" s="1527">
        <f t="shared" si="54"/>
        <v>1.0027326200731787E-2</v>
      </c>
      <c r="H78" s="2">
        <v>43615</v>
      </c>
      <c r="I78" s="1240"/>
      <c r="J78" s="66"/>
      <c r="K78" s="1527">
        <f t="shared" si="55"/>
        <v>-0.19752378768772211</v>
      </c>
      <c r="L78" s="2">
        <v>35000</v>
      </c>
      <c r="M78" s="1240"/>
      <c r="O78" s="1527">
        <f t="shared" si="56"/>
        <v>0</v>
      </c>
      <c r="P78" s="2">
        <f t="shared" si="60"/>
        <v>35000</v>
      </c>
      <c r="Q78" s="1240"/>
      <c r="S78" s="83">
        <f t="shared" si="57"/>
        <v>2.7314285714285715E-2</v>
      </c>
      <c r="T78" s="2">
        <f t="shared" si="61"/>
        <v>35956</v>
      </c>
      <c r="U78" s="81" t="str">
        <f>TEXT('MYP Assumptions'!H72,"0.00%")&amp;", CPI"</f>
        <v>2.73%, CPI</v>
      </c>
      <c r="W78" s="83">
        <f t="shared" si="58"/>
        <v>2.7311158082100346E-2</v>
      </c>
      <c r="X78" s="2">
        <f t="shared" si="62"/>
        <v>36938</v>
      </c>
      <c r="Y78" s="81" t="str">
        <f>TEXT('MYP Assumptions'!I72,"0.00%")&amp;", CPI"</f>
        <v>2.73%, CPI</v>
      </c>
      <c r="AA78" s="83">
        <f t="shared" si="59"/>
        <v>2.7288970707672316E-2</v>
      </c>
      <c r="AB78" s="2">
        <f t="shared" si="63"/>
        <v>37946</v>
      </c>
      <c r="AC78" s="81" t="str">
        <f>TEXT('MYP Assumptions'!J72,"0.00%")&amp;", CPI"</f>
        <v>2.73%, CPI</v>
      </c>
    </row>
    <row r="79" spans="1:29" x14ac:dyDescent="0.25">
      <c r="A79" s="153"/>
      <c r="B79" s="1326">
        <v>5752</v>
      </c>
      <c r="C79" s="1243" t="s">
        <v>436</v>
      </c>
      <c r="D79" s="2">
        <v>300</v>
      </c>
      <c r="E79" s="1249"/>
      <c r="F79" s="2"/>
      <c r="G79" s="1527">
        <f t="shared" si="54"/>
        <v>0</v>
      </c>
      <c r="H79" s="2">
        <v>300</v>
      </c>
      <c r="I79" s="1240"/>
      <c r="J79" s="66"/>
      <c r="K79" s="1527">
        <f t="shared" si="55"/>
        <v>0</v>
      </c>
      <c r="L79" s="2">
        <v>300</v>
      </c>
      <c r="M79" s="1240"/>
      <c r="O79" s="1527">
        <f t="shared" si="56"/>
        <v>0</v>
      </c>
      <c r="P79" s="2">
        <f t="shared" si="60"/>
        <v>300</v>
      </c>
      <c r="Q79" s="1240"/>
      <c r="S79" s="83">
        <f t="shared" si="57"/>
        <v>2.6666666666666668E-2</v>
      </c>
      <c r="T79" s="2">
        <f t="shared" si="61"/>
        <v>308</v>
      </c>
      <c r="U79" s="81" t="str">
        <f>TEXT('MYP Assumptions'!H72,"0.00%")&amp;", CPI"</f>
        <v>2.73%, CPI</v>
      </c>
      <c r="W79" s="83">
        <f t="shared" si="58"/>
        <v>2.5974025974025976E-2</v>
      </c>
      <c r="X79" s="2">
        <f t="shared" si="62"/>
        <v>316</v>
      </c>
      <c r="Y79" s="81" t="str">
        <f>TEXT('MYP Assumptions'!I72,"0.00%")&amp;", CPI"</f>
        <v>2.73%, CPI</v>
      </c>
      <c r="AA79" s="83">
        <f t="shared" si="59"/>
        <v>2.8481012658227847E-2</v>
      </c>
      <c r="AB79" s="2">
        <f t="shared" si="63"/>
        <v>325</v>
      </c>
      <c r="AC79" s="81" t="str">
        <f>TEXT('MYP Assumptions'!J72,"0.00%")&amp;", CPI"</f>
        <v>2.73%, CPI</v>
      </c>
    </row>
    <row r="80" spans="1:29" x14ac:dyDescent="0.25">
      <c r="A80" s="153"/>
      <c r="B80" s="1326">
        <v>5807</v>
      </c>
      <c r="C80" s="1243" t="s">
        <v>8</v>
      </c>
      <c r="D80" s="2">
        <v>18360</v>
      </c>
      <c r="E80" s="1249"/>
      <c r="F80" s="2"/>
      <c r="G80" s="1527">
        <f>IF(D80=0,"0.00%",(H80-D80)/D80)</f>
        <v>0</v>
      </c>
      <c r="H80" s="2">
        <v>18360</v>
      </c>
      <c r="I80" s="1240"/>
      <c r="J80" s="66"/>
      <c r="K80" s="1527">
        <f t="shared" si="55"/>
        <v>-0.18300653594771241</v>
      </c>
      <c r="L80" s="2">
        <v>15000</v>
      </c>
      <c r="M80" s="1240"/>
      <c r="O80" s="1527">
        <f t="shared" si="56"/>
        <v>0</v>
      </c>
      <c r="P80" s="2">
        <f t="shared" si="60"/>
        <v>15000</v>
      </c>
      <c r="Q80" s="1240"/>
      <c r="S80" s="83">
        <f t="shared" si="57"/>
        <v>2.7333333333333334E-2</v>
      </c>
      <c r="T80" s="2">
        <f t="shared" si="61"/>
        <v>15410</v>
      </c>
      <c r="U80" s="81" t="str">
        <f>TEXT('MYP Assumptions'!H72,"0.00%")&amp;", CPI"</f>
        <v>2.73%, CPI</v>
      </c>
      <c r="W80" s="83">
        <f t="shared" si="58"/>
        <v>2.7319922128487995E-2</v>
      </c>
      <c r="X80" s="2">
        <f t="shared" si="62"/>
        <v>15831</v>
      </c>
      <c r="Y80" s="81" t="str">
        <f>TEXT('MYP Assumptions'!I72,"0.00%")&amp;", CPI"</f>
        <v>2.73%, CPI</v>
      </c>
      <c r="AA80" s="83">
        <f t="shared" si="59"/>
        <v>2.7288231949971573E-2</v>
      </c>
      <c r="AB80" s="2">
        <f t="shared" si="63"/>
        <v>16263</v>
      </c>
      <c r="AC80" s="81" t="str">
        <f>TEXT('MYP Assumptions'!J72,"0.00%")&amp;", CPI"</f>
        <v>2.73%, CPI</v>
      </c>
    </row>
    <row r="81" spans="1:29" x14ac:dyDescent="0.25">
      <c r="A81" s="153"/>
      <c r="B81" s="1326">
        <v>5809</v>
      </c>
      <c r="C81" s="1243" t="s">
        <v>923</v>
      </c>
      <c r="D81" s="2">
        <v>25788</v>
      </c>
      <c r="E81" s="1249"/>
      <c r="F81" s="2"/>
      <c r="G81" s="1527">
        <f t="shared" ref="G81:G87" si="64">IF(D81=0,"0.00%",(H81-D81)/D81)</f>
        <v>0.26477431363424847</v>
      </c>
      <c r="H81" s="2">
        <v>32616</v>
      </c>
      <c r="I81" s="1240"/>
      <c r="J81" s="66"/>
      <c r="K81" s="1527">
        <f t="shared" si="55"/>
        <v>-0.38680402256561197</v>
      </c>
      <c r="L81" s="2">
        <v>20000</v>
      </c>
      <c r="M81" s="1240"/>
      <c r="O81" s="1527">
        <f t="shared" si="56"/>
        <v>0</v>
      </c>
      <c r="P81" s="2">
        <f t="shared" si="60"/>
        <v>20000</v>
      </c>
      <c r="Q81" s="1240"/>
      <c r="S81" s="83">
        <f t="shared" si="57"/>
        <v>2.7300000000000001E-2</v>
      </c>
      <c r="T81" s="2">
        <f t="shared" si="61"/>
        <v>20546</v>
      </c>
      <c r="U81" s="81" t="str">
        <f>TEXT('MYP Assumptions'!H72,"0.00%")&amp;", CPI"</f>
        <v>2.73%, CPI</v>
      </c>
      <c r="W81" s="83">
        <f t="shared" si="58"/>
        <v>2.7304584834030955E-2</v>
      </c>
      <c r="X81" s="2">
        <f t="shared" si="62"/>
        <v>21107</v>
      </c>
      <c r="Y81" s="81" t="str">
        <f>TEXT('MYP Assumptions'!I72,"0.00%")&amp;", CPI"</f>
        <v>2.73%, CPI</v>
      </c>
      <c r="AA81" s="83">
        <f t="shared" si="59"/>
        <v>2.7289524802198324E-2</v>
      </c>
      <c r="AB81" s="2">
        <f t="shared" si="63"/>
        <v>21683</v>
      </c>
      <c r="AC81" s="81" t="str">
        <f>TEXT('MYP Assumptions'!J72,"0.00%")&amp;", CPI"</f>
        <v>2.73%, CPI</v>
      </c>
    </row>
    <row r="82" spans="1:29" x14ac:dyDescent="0.25">
      <c r="A82" s="153"/>
      <c r="B82" s="1326">
        <v>5810</v>
      </c>
      <c r="C82" s="1243" t="s">
        <v>437</v>
      </c>
      <c r="D82" s="2">
        <v>2500</v>
      </c>
      <c r="E82" s="1249"/>
      <c r="F82" s="2"/>
      <c r="G82" s="1527">
        <f t="shared" si="64"/>
        <v>0</v>
      </c>
      <c r="H82" s="2">
        <v>2500</v>
      </c>
      <c r="I82" s="1240"/>
      <c r="J82" s="66"/>
      <c r="K82" s="1527">
        <f t="shared" si="55"/>
        <v>-0.4</v>
      </c>
      <c r="L82" s="2">
        <v>1500</v>
      </c>
      <c r="M82" s="1240"/>
      <c r="O82" s="1527">
        <f t="shared" si="56"/>
        <v>0</v>
      </c>
      <c r="P82" s="2">
        <f t="shared" si="60"/>
        <v>1500</v>
      </c>
      <c r="Q82" s="1240"/>
      <c r="S82" s="83">
        <f t="shared" si="57"/>
        <v>2.7333333333333334E-2</v>
      </c>
      <c r="T82" s="2">
        <f t="shared" si="61"/>
        <v>1541</v>
      </c>
      <c r="U82" s="81" t="str">
        <f>TEXT('MYP Assumptions'!H72,"0.00%")&amp;", CPI"</f>
        <v>2.73%, CPI</v>
      </c>
      <c r="W82" s="83">
        <f t="shared" si="58"/>
        <v>2.7255029201817001E-2</v>
      </c>
      <c r="X82" s="2">
        <f t="shared" si="62"/>
        <v>1583</v>
      </c>
      <c r="Y82" s="81" t="str">
        <f>TEXT('MYP Assumptions'!I72,"0.00%")&amp;", CPI"</f>
        <v>2.73%, CPI</v>
      </c>
      <c r="AA82" s="83">
        <f t="shared" si="59"/>
        <v>2.7163613392293114E-2</v>
      </c>
      <c r="AB82" s="2">
        <f t="shared" si="63"/>
        <v>1626</v>
      </c>
      <c r="AC82" s="81" t="str">
        <f>TEXT('MYP Assumptions'!J72,"0.00%")&amp;", CPI"</f>
        <v>2.73%, CPI</v>
      </c>
    </row>
    <row r="83" spans="1:29" x14ac:dyDescent="0.25">
      <c r="A83" s="153"/>
      <c r="B83" s="1326">
        <v>5813</v>
      </c>
      <c r="C83" s="1243" t="s">
        <v>6</v>
      </c>
      <c r="D83" s="2">
        <v>43320</v>
      </c>
      <c r="E83" s="1249"/>
      <c r="F83" s="2"/>
      <c r="G83" s="1527">
        <f t="shared" si="64"/>
        <v>-2.3407202216066483E-2</v>
      </c>
      <c r="H83" s="2">
        <v>42306</v>
      </c>
      <c r="I83" s="1240"/>
      <c r="J83" s="66"/>
      <c r="K83" s="1527">
        <f t="shared" si="55"/>
        <v>-0.17269418049449251</v>
      </c>
      <c r="L83" s="2">
        <v>35000</v>
      </c>
      <c r="M83" s="1240"/>
      <c r="O83" s="1527">
        <f t="shared" si="56"/>
        <v>0</v>
      </c>
      <c r="P83" s="2">
        <f t="shared" si="60"/>
        <v>35000</v>
      </c>
      <c r="Q83" s="1240"/>
      <c r="S83" s="83">
        <f t="shared" si="57"/>
        <v>2.7314285714285715E-2</v>
      </c>
      <c r="T83" s="2">
        <f t="shared" si="61"/>
        <v>35956</v>
      </c>
      <c r="U83" s="81" t="str">
        <f>TEXT('MYP Assumptions'!H72,"0.00%")&amp;", CPI"</f>
        <v>2.73%, CPI</v>
      </c>
      <c r="W83" s="83">
        <f t="shared" si="58"/>
        <v>2.7311158082100346E-2</v>
      </c>
      <c r="X83" s="2">
        <f t="shared" si="62"/>
        <v>36938</v>
      </c>
      <c r="Y83" s="81" t="str">
        <f>TEXT('MYP Assumptions'!I72,"0.00%")&amp;", CPI"</f>
        <v>2.73%, CPI</v>
      </c>
      <c r="AA83" s="83">
        <f t="shared" si="59"/>
        <v>2.7288970707672316E-2</v>
      </c>
      <c r="AB83" s="2">
        <f t="shared" si="63"/>
        <v>37946</v>
      </c>
      <c r="AC83" s="81" t="str">
        <f>TEXT('MYP Assumptions'!J72,"0.00%")&amp;", CPI"</f>
        <v>2.73%, CPI</v>
      </c>
    </row>
    <row r="84" spans="1:29" x14ac:dyDescent="0.25">
      <c r="A84" s="153"/>
      <c r="B84" s="1326">
        <v>5814</v>
      </c>
      <c r="C84" s="1243" t="s">
        <v>4</v>
      </c>
      <c r="D84" s="2">
        <f>66122+614</f>
        <v>66736</v>
      </c>
      <c r="E84" s="1249"/>
      <c r="F84" s="2"/>
      <c r="G84" s="1527">
        <f t="shared" si="64"/>
        <v>0.42868916327019901</v>
      </c>
      <c r="H84" s="2">
        <f>94731+614</f>
        <v>95345</v>
      </c>
      <c r="I84" s="1240"/>
      <c r="J84" s="66"/>
      <c r="K84" s="1527">
        <f t="shared" si="55"/>
        <v>-0.3182652472599507</v>
      </c>
      <c r="L84" s="2">
        <v>65000</v>
      </c>
      <c r="M84" s="1240"/>
      <c r="O84" s="1527">
        <f t="shared" si="56"/>
        <v>0</v>
      </c>
      <c r="P84" s="2">
        <f t="shared" si="60"/>
        <v>65000</v>
      </c>
      <c r="Q84" s="1240"/>
      <c r="S84" s="83">
        <f t="shared" si="57"/>
        <v>2.7307692307692307E-2</v>
      </c>
      <c r="T84" s="2">
        <f t="shared" si="61"/>
        <v>66775</v>
      </c>
      <c r="U84" s="81" t="str">
        <f>TEXT('MYP Assumptions'!H72,"0.00%")&amp;", CPI"</f>
        <v>2.73%, CPI</v>
      </c>
      <c r="W84" s="83">
        <f t="shared" si="58"/>
        <v>2.7300636465743166E-2</v>
      </c>
      <c r="X84" s="2">
        <f t="shared" si="62"/>
        <v>68598</v>
      </c>
      <c r="Y84" s="81" t="str">
        <f>TEXT('MYP Assumptions'!I72,"0.00%")&amp;", CPI"</f>
        <v>2.73%, CPI</v>
      </c>
      <c r="AA84" s="83">
        <f t="shared" si="59"/>
        <v>2.7304003032158373E-2</v>
      </c>
      <c r="AB84" s="2">
        <f t="shared" si="63"/>
        <v>70471</v>
      </c>
      <c r="AC84" s="81" t="str">
        <f>TEXT('MYP Assumptions'!J72,"0.00%")&amp;", CPI"</f>
        <v>2.73%, CPI</v>
      </c>
    </row>
    <row r="85" spans="1:29" hidden="1" x14ac:dyDescent="0.25">
      <c r="A85" s="153"/>
      <c r="B85" s="1326"/>
      <c r="D85" s="2">
        <v>0</v>
      </c>
      <c r="E85" s="1249"/>
      <c r="F85" s="2"/>
      <c r="G85" s="1527" t="str">
        <f t="shared" si="64"/>
        <v>0.00%</v>
      </c>
      <c r="H85" s="2"/>
      <c r="I85" s="1240"/>
      <c r="J85" s="66"/>
      <c r="K85" s="1527" t="str">
        <f t="shared" si="55"/>
        <v>0.00%</v>
      </c>
      <c r="L85" s="2">
        <f>ROUND(H85*(LEFT(M85,5)+1),0)</f>
        <v>0</v>
      </c>
      <c r="M85" s="1240" t="str">
        <f>TEXT('MYP Assumptions'!F72,"0.00%")&amp;", CPI"</f>
        <v>3.19%, CPI</v>
      </c>
      <c r="O85" s="1527" t="str">
        <f t="shared" si="56"/>
        <v>0.00%</v>
      </c>
      <c r="P85" s="2">
        <f t="shared" ref="P85" si="65">ROUND(L85*(LEFT(Q85,5)+1),0)</f>
        <v>0</v>
      </c>
      <c r="Q85" s="1240" t="str">
        <f>TEXT('MYP Assumptions'!J72,"0.00%")&amp;", CPI"</f>
        <v>2.73%, CPI</v>
      </c>
      <c r="S85" s="83" t="str">
        <f t="shared" si="57"/>
        <v>0.00%</v>
      </c>
      <c r="T85" s="2">
        <f t="shared" si="61"/>
        <v>0</v>
      </c>
      <c r="U85" s="81" t="str">
        <f>TEXT('MYP Assumptions'!H72,"0.00%")&amp;", CPI"</f>
        <v>2.73%, CPI</v>
      </c>
      <c r="W85" s="83" t="str">
        <f t="shared" si="58"/>
        <v>0.00%</v>
      </c>
      <c r="X85" s="2">
        <f t="shared" si="62"/>
        <v>0</v>
      </c>
      <c r="Y85" s="81" t="str">
        <f>TEXT('MYP Assumptions'!I72,"0.00%")&amp;", CPI"</f>
        <v>2.73%, CPI</v>
      </c>
      <c r="AA85" s="83" t="str">
        <f t="shared" si="59"/>
        <v>0.00%</v>
      </c>
      <c r="AB85" s="2">
        <f t="shared" si="63"/>
        <v>0</v>
      </c>
      <c r="AC85" s="81" t="str">
        <f>TEXT('MYP Assumptions'!J72,"0.00%")&amp;", CPI"</f>
        <v>2.73%, CPI</v>
      </c>
    </row>
    <row r="86" spans="1:29" x14ac:dyDescent="0.25">
      <c r="A86" s="153"/>
      <c r="B86" s="1326"/>
      <c r="E86" s="1249"/>
      <c r="F86" s="2"/>
      <c r="G86" s="1527"/>
      <c r="H86" s="2"/>
      <c r="I86" s="1240"/>
      <c r="J86" s="66"/>
      <c r="K86" s="1527"/>
      <c r="L86" s="2"/>
      <c r="M86" s="1240"/>
      <c r="O86" s="1527"/>
      <c r="Q86" s="1240"/>
      <c r="S86" s="83"/>
      <c r="T86" s="2"/>
      <c r="U86" s="81"/>
      <c r="W86" s="83"/>
      <c r="X86" s="2"/>
      <c r="Y86" s="81"/>
      <c r="AA86" s="83"/>
      <c r="AB86" s="2"/>
      <c r="AC86" s="81"/>
    </row>
    <row r="87" spans="1:29" x14ac:dyDescent="0.25">
      <c r="A87" s="154"/>
      <c r="D87" s="8">
        <f>SUM(D74:D86)</f>
        <v>482624</v>
      </c>
      <c r="E87" s="1249"/>
      <c r="F87" s="2"/>
      <c r="G87" s="1527">
        <f t="shared" si="64"/>
        <v>-4.1875248640763823E-3</v>
      </c>
      <c r="H87" s="8">
        <f>SUM(H74:H86)</f>
        <v>480603</v>
      </c>
      <c r="I87" s="1882">
        <f>+H87-D87</f>
        <v>-2021</v>
      </c>
      <c r="J87" s="29"/>
      <c r="K87" s="1527">
        <f t="shared" si="55"/>
        <v>-0.23991319238539918</v>
      </c>
      <c r="L87" s="8">
        <f>SUM(L74:L86)</f>
        <v>365300</v>
      </c>
      <c r="M87" s="1882">
        <f>+L87-H87</f>
        <v>-115303</v>
      </c>
      <c r="O87" s="1527">
        <f t="shared" si="56"/>
        <v>0</v>
      </c>
      <c r="P87" s="8">
        <f>SUM(P74:P86)</f>
        <v>365300</v>
      </c>
      <c r="Q87" s="1882">
        <f>+P87-L87</f>
        <v>0</v>
      </c>
      <c r="S87" s="83">
        <f t="shared" si="57"/>
        <v>2.7306323569668764E-2</v>
      </c>
      <c r="T87" s="8">
        <f>SUM(T74:T86)</f>
        <v>375275</v>
      </c>
      <c r="U87" s="73"/>
      <c r="W87" s="83">
        <f t="shared" si="58"/>
        <v>2.729998001465592E-2</v>
      </c>
      <c r="X87" s="8">
        <f>SUM(X74:X86)</f>
        <v>385520</v>
      </c>
      <c r="Y87" s="73"/>
      <c r="AA87" s="83">
        <f t="shared" si="59"/>
        <v>2.7298194646192157E-2</v>
      </c>
      <c r="AB87" s="8">
        <f>SUM(AB74:AB86)</f>
        <v>396044</v>
      </c>
      <c r="AC87" s="73"/>
    </row>
    <row r="88" spans="1:29" x14ac:dyDescent="0.25">
      <c r="A88" s="153"/>
      <c r="B88" s="1323"/>
      <c r="E88" s="1249"/>
      <c r="F88" s="2"/>
      <c r="G88" s="1527"/>
      <c r="H88" s="2"/>
      <c r="I88" s="1257"/>
      <c r="J88" s="66"/>
      <c r="L88" s="2"/>
      <c r="M88" s="1335"/>
      <c r="Q88" s="1335"/>
      <c r="T88" s="2"/>
      <c r="U88" s="73"/>
      <c r="X88" s="2"/>
      <c r="Y88" s="73"/>
      <c r="AB88" s="2"/>
      <c r="AC88" s="73"/>
    </row>
    <row r="89" spans="1:29" x14ac:dyDescent="0.25">
      <c r="A89" s="153"/>
      <c r="E89" s="1249"/>
      <c r="F89" s="2"/>
      <c r="H89" s="2"/>
      <c r="I89" s="1257"/>
      <c r="J89" s="66"/>
      <c r="L89" s="2"/>
      <c r="M89" s="1335"/>
      <c r="Q89" s="1335"/>
      <c r="T89" s="2"/>
      <c r="U89" s="73"/>
      <c r="X89" s="2"/>
      <c r="Y89" s="73"/>
      <c r="AB89" s="2"/>
      <c r="AC89" s="73"/>
    </row>
    <row r="90" spans="1:29" x14ac:dyDescent="0.25">
      <c r="A90" s="154"/>
      <c r="B90" s="1323" t="s">
        <v>0</v>
      </c>
      <c r="D90" s="8">
        <f>SUM(D87,D71,D57,D13)</f>
        <v>4185229</v>
      </c>
      <c r="E90" s="1249"/>
      <c r="F90" s="2"/>
      <c r="G90" s="1527">
        <f>IF(D90=0,"0.00%",(H90-D90)/D90)</f>
        <v>7.6564986049747819E-2</v>
      </c>
      <c r="H90" s="8">
        <f>SUM(H87,H71,H57,H13)</f>
        <v>4505671</v>
      </c>
      <c r="I90" s="1514" t="s">
        <v>924</v>
      </c>
      <c r="J90" s="29"/>
      <c r="K90" s="1527">
        <f>IF(H90=0,"0.00%",(L90-H90)/H90)</f>
        <v>-4.6962816415135507E-2</v>
      </c>
      <c r="L90" s="8">
        <f>SUM(L87,L71,L57,L13)</f>
        <v>4294072</v>
      </c>
      <c r="M90" s="1514" t="s">
        <v>925</v>
      </c>
      <c r="O90" s="1527">
        <f>IF(L90=0,"0.00%",(P90-L90)/L90)</f>
        <v>3.0169731667284573E-2</v>
      </c>
      <c r="P90" s="8">
        <f>SUM(P87,P71,P57,P13)</f>
        <v>4423623</v>
      </c>
      <c r="Q90" s="1514" t="s">
        <v>926</v>
      </c>
      <c r="S90" s="83">
        <f>IF(P90=0,"0.00%",(T90-P90)/P90)</f>
        <v>2.5135731503340135E-2</v>
      </c>
      <c r="T90" s="8">
        <f>SUM(T87,T71,T57,T13)</f>
        <v>4534814</v>
      </c>
      <c r="U90" s="73"/>
      <c r="W90" s="83">
        <f>IF(T90=0,"0.00%",(X90-T90)/T90)</f>
        <v>2.3838243420788593E-2</v>
      </c>
      <c r="X90" s="8">
        <f>SUM(X87,X71,X57,X13)</f>
        <v>4642916</v>
      </c>
      <c r="Y90" s="73"/>
      <c r="AA90" s="83">
        <f>IF(X90=0,"0.00%",(AB90-X90)/X90)</f>
        <v>2.3690715059242941E-2</v>
      </c>
      <c r="AB90" s="8">
        <f>SUM(AB87,AB71,AB57,AB13)</f>
        <v>4752910</v>
      </c>
      <c r="AC90" s="73"/>
    </row>
    <row r="91" spans="1:29" x14ac:dyDescent="0.25">
      <c r="A91" s="153"/>
      <c r="E91" s="1249"/>
      <c r="F91" s="2"/>
      <c r="H91" s="2"/>
      <c r="I91" s="1257"/>
      <c r="J91" s="66"/>
      <c r="L91" s="2"/>
      <c r="M91" s="1335"/>
      <c r="Q91" s="1335"/>
      <c r="T91" s="2"/>
      <c r="U91" s="73"/>
      <c r="X91" s="2"/>
      <c r="Y91" s="73"/>
      <c r="AB91" s="2"/>
      <c r="AC91" s="73"/>
    </row>
    <row r="92" spans="1:29" x14ac:dyDescent="0.25">
      <c r="A92" s="153"/>
      <c r="B92" s="1323" t="s">
        <v>138</v>
      </c>
      <c r="D92" s="3">
        <f>D11-D90</f>
        <v>-137650</v>
      </c>
      <c r="G92" s="1527">
        <f>IF(D92=0,"0.00%",(H92-D92)/D92)</f>
        <v>-5.0786414820196146</v>
      </c>
      <c r="H92" s="3">
        <f>H11-H90</f>
        <v>561425</v>
      </c>
      <c r="I92" s="1257"/>
      <c r="J92" s="66"/>
      <c r="K92" s="1527">
        <f>IF(H92=0,"0.00%",(L92-H92)/H92)</f>
        <v>1.931643585518992</v>
      </c>
      <c r="L92" s="3">
        <f>L11-L90</f>
        <v>1645898</v>
      </c>
      <c r="M92" s="1335"/>
      <c r="O92" s="1527">
        <f>IF(L92=0,"0.00%",(P92-L92)/L92)</f>
        <v>9.0960679215844484E-2</v>
      </c>
      <c r="P92" s="3">
        <f>P11-P90</f>
        <v>1795610</v>
      </c>
      <c r="Q92" s="1335"/>
      <c r="S92" s="83">
        <f>IF(P92=0,"0.00%",(T92-P92)/P92)</f>
        <v>-3.525500526283547</v>
      </c>
      <c r="T92" s="3">
        <f>T11-T90</f>
        <v>-4534814</v>
      </c>
      <c r="U92" s="73"/>
      <c r="W92" s="83">
        <f>IF(T92=0,"0.00%",(X92-T92)/T92)</f>
        <v>2.3838243420788593E-2</v>
      </c>
      <c r="X92" s="3">
        <f>X11-X90</f>
        <v>-4642916</v>
      </c>
      <c r="Y92" s="73"/>
      <c r="AA92" s="83">
        <f>IF(X92=0,"0.00%",(AB92-X92)/X92)</f>
        <v>2.3690715059242941E-2</v>
      </c>
      <c r="AB92" s="3">
        <f>AB11-AB90</f>
        <v>-4752910</v>
      </c>
      <c r="AC92" s="73"/>
    </row>
    <row r="93" spans="1:29" x14ac:dyDescent="0.25">
      <c r="B93" s="1323"/>
      <c r="C93" s="1317"/>
      <c r="D93" s="3"/>
      <c r="H93" s="3"/>
      <c r="I93" s="1257"/>
      <c r="J93" s="66"/>
      <c r="L93" s="3"/>
      <c r="M93" s="1335"/>
      <c r="P93" s="3"/>
      <c r="Q93" s="1335"/>
      <c r="T93" s="44"/>
      <c r="U93" s="73"/>
      <c r="X93" s="44"/>
      <c r="Y93" s="73"/>
      <c r="AB93" s="44"/>
      <c r="AC93" s="73"/>
    </row>
    <row r="94" spans="1:29" x14ac:dyDescent="0.25">
      <c r="B94" s="1323" t="s">
        <v>136</v>
      </c>
      <c r="C94" s="1319"/>
      <c r="D94" s="3">
        <f>D7+D92</f>
        <v>185601.7</v>
      </c>
      <c r="G94" s="1527">
        <f>IF(D94=0,"0.00%",(H94-D94)/D94)</f>
        <v>3.0248914745931743</v>
      </c>
      <c r="H94" s="3">
        <f>H7+H92</f>
        <v>747026.7</v>
      </c>
      <c r="I94" s="1882">
        <f>+H94-D94</f>
        <v>561425</v>
      </c>
      <c r="J94" s="66"/>
      <c r="K94" s="1527">
        <f>IF(H94=0,"0.00%",(L94-H94)/H94)</f>
        <v>2.2032652915886413</v>
      </c>
      <c r="L94" s="3">
        <f>L7+L92</f>
        <v>2392924.7000000002</v>
      </c>
      <c r="M94" s="1882">
        <f>+L94-H94</f>
        <v>1645898.0000000002</v>
      </c>
      <c r="O94" s="1527">
        <f>IF(L94=0,"0.00%",(P94-L94)/L94)</f>
        <v>0.75038299366461458</v>
      </c>
      <c r="P94" s="3">
        <f>P7+P92</f>
        <v>4188534.7</v>
      </c>
      <c r="Q94" s="1882">
        <f>+P94-L94</f>
        <v>1795610</v>
      </c>
      <c r="S94" s="83">
        <f>IF(P94=0,"0.00%",(T94-P94)/P94)</f>
        <v>-1.0826731362640973</v>
      </c>
      <c r="T94" s="49">
        <f>T7+T92</f>
        <v>-346279.29999999981</v>
      </c>
      <c r="U94" s="73"/>
      <c r="W94" s="83">
        <f>IF(T94=0,"0.00%",(X94-T94)/T94)</f>
        <v>13.408009083996653</v>
      </c>
      <c r="X94" s="49">
        <f>X7+X92</f>
        <v>-4989195.3</v>
      </c>
      <c r="Y94" s="73"/>
      <c r="AA94" s="83">
        <f>IF(X94=0,"0.00%",(AB94-X94)/X94)</f>
        <v>0.95264059917638444</v>
      </c>
      <c r="AB94" s="49">
        <f>AB7+AB92</f>
        <v>-9742105.3000000007</v>
      </c>
      <c r="AC94" s="73"/>
    </row>
    <row r="95" spans="1:29" x14ac:dyDescent="0.25">
      <c r="C95" s="1259"/>
      <c r="G95" s="1540"/>
      <c r="H95" s="5"/>
      <c r="I95" s="1258"/>
      <c r="J95" s="29"/>
      <c r="L95" s="5"/>
      <c r="M95" s="1335"/>
      <c r="P95" s="5"/>
      <c r="Q95" s="1335"/>
      <c r="T95" s="5"/>
      <c r="U95" s="73"/>
      <c r="X95" s="5"/>
      <c r="Y95" s="73"/>
      <c r="AB95" s="5"/>
      <c r="AC95" s="73"/>
    </row>
    <row r="96" spans="1:29" x14ac:dyDescent="0.25">
      <c r="C96" s="1254"/>
      <c r="G96" s="1540"/>
      <c r="H96" s="36"/>
      <c r="I96" s="1257"/>
      <c r="J96" s="66"/>
      <c r="L96" s="2"/>
      <c r="M96" s="1335"/>
      <c r="Q96" s="1335"/>
      <c r="T96" s="2"/>
      <c r="U96" s="73"/>
      <c r="X96" s="2"/>
      <c r="Y96" s="73"/>
      <c r="AB96" s="2"/>
      <c r="AC96" s="73"/>
    </row>
    <row r="97" spans="1:29" x14ac:dyDescent="0.25">
      <c r="C97" s="1254"/>
      <c r="G97" s="1540"/>
      <c r="H97" s="36"/>
      <c r="I97" s="1257"/>
      <c r="J97" s="66"/>
      <c r="L97" s="2"/>
      <c r="M97" s="1335"/>
      <c r="Q97" s="1335"/>
      <c r="T97" s="2"/>
      <c r="U97" s="73"/>
      <c r="X97" s="2"/>
      <c r="Y97" s="73"/>
      <c r="AB97" s="2"/>
      <c r="AC97" s="73"/>
    </row>
    <row r="98" spans="1:29" x14ac:dyDescent="0.25">
      <c r="C98" s="1254"/>
      <c r="G98" s="1540"/>
      <c r="H98" s="36"/>
      <c r="I98" s="1257"/>
      <c r="J98" s="66"/>
      <c r="L98" s="2"/>
      <c r="M98" s="1335"/>
      <c r="Q98" s="1335"/>
      <c r="T98" s="2"/>
      <c r="U98" s="73"/>
      <c r="X98" s="2"/>
      <c r="Y98" s="73"/>
      <c r="AB98" s="2"/>
      <c r="AC98" s="73"/>
    </row>
    <row r="99" spans="1:29" x14ac:dyDescent="0.25">
      <c r="C99" s="1254"/>
      <c r="G99" s="1540"/>
      <c r="H99" s="36"/>
      <c r="I99" s="1257"/>
      <c r="J99" s="66"/>
      <c r="L99" s="2"/>
      <c r="M99" s="1335"/>
      <c r="Q99" s="1335"/>
      <c r="T99" s="2"/>
      <c r="U99" s="73"/>
      <c r="X99" s="2"/>
      <c r="Y99" s="73"/>
      <c r="AB99" s="2"/>
      <c r="AC99" s="73"/>
    </row>
    <row r="100" spans="1:29" s="138" customFormat="1" ht="11.25" x14ac:dyDescent="0.2">
      <c r="A100" s="157"/>
      <c r="B100" s="1329"/>
      <c r="C100" s="1330" t="s">
        <v>226</v>
      </c>
      <c r="D100" s="135">
        <f>+D87+D71+D55+D43+D32</f>
        <v>4185229</v>
      </c>
      <c r="E100" s="1251"/>
      <c r="G100" s="1541" t="s">
        <v>226</v>
      </c>
      <c r="H100" s="135">
        <f>+H87+H71+H55+H43+H32</f>
        <v>4505671</v>
      </c>
      <c r="I100" s="1260"/>
      <c r="J100" s="136"/>
      <c r="K100" s="1541" t="s">
        <v>226</v>
      </c>
      <c r="L100" s="135">
        <f>+L87+L71+L55+L43+L32</f>
        <v>4294072</v>
      </c>
      <c r="M100" s="1338"/>
      <c r="O100" s="1541" t="s">
        <v>226</v>
      </c>
      <c r="P100" s="135">
        <f>+P87+P71+P55+P43+P32</f>
        <v>4423623</v>
      </c>
      <c r="Q100" s="1338"/>
      <c r="R100" s="140"/>
      <c r="S100" s="134" t="s">
        <v>226</v>
      </c>
      <c r="T100" s="135">
        <f>+T87+T71+T55+T43+T32</f>
        <v>4534814</v>
      </c>
      <c r="U100" s="139"/>
      <c r="W100" s="134" t="s">
        <v>226</v>
      </c>
      <c r="X100" s="135">
        <f>+X87+X71+X55+X43+X32</f>
        <v>4642916</v>
      </c>
      <c r="Y100" s="139"/>
      <c r="AA100" s="134" t="s">
        <v>226</v>
      </c>
      <c r="AB100" s="135">
        <f>+AB87+AB71+AB55+AB43+AB32</f>
        <v>4752910</v>
      </c>
      <c r="AC100" s="139"/>
    </row>
    <row r="101" spans="1:29" s="138" customFormat="1" ht="11.25" x14ac:dyDescent="0.2">
      <c r="A101" s="159"/>
      <c r="B101" s="1329"/>
      <c r="C101" s="1331" t="s">
        <v>227</v>
      </c>
      <c r="D101" s="143">
        <f>+D13</f>
        <v>0</v>
      </c>
      <c r="E101" s="1252"/>
      <c r="F101" s="145"/>
      <c r="G101" s="1546" t="s">
        <v>227</v>
      </c>
      <c r="H101" s="143">
        <f>+H13</f>
        <v>0</v>
      </c>
      <c r="I101" s="1261"/>
      <c r="J101" s="144"/>
      <c r="K101" s="1546" t="s">
        <v>227</v>
      </c>
      <c r="L101" s="143">
        <f>+L13</f>
        <v>0</v>
      </c>
      <c r="M101" s="1338"/>
      <c r="O101" s="1546" t="s">
        <v>227</v>
      </c>
      <c r="P101" s="143">
        <f>+P13</f>
        <v>0</v>
      </c>
      <c r="Q101" s="1251"/>
      <c r="R101" s="140"/>
      <c r="S101" s="142" t="s">
        <v>227</v>
      </c>
      <c r="T101" s="143">
        <f>+T13</f>
        <v>0</v>
      </c>
      <c r="W101" s="142" t="s">
        <v>227</v>
      </c>
      <c r="X101" s="143">
        <f>+X13</f>
        <v>0</v>
      </c>
      <c r="AA101" s="142" t="s">
        <v>227</v>
      </c>
      <c r="AB101" s="143">
        <f>+AB13</f>
        <v>0</v>
      </c>
    </row>
    <row r="102" spans="1:29" s="138" customFormat="1" ht="11.25" x14ac:dyDescent="0.2">
      <c r="A102" s="159"/>
      <c r="B102" s="1329"/>
      <c r="C102" s="1331"/>
      <c r="D102" s="146">
        <f>+D100+D101</f>
        <v>4185229</v>
      </c>
      <c r="E102" s="1252"/>
      <c r="F102" s="145"/>
      <c r="G102" s="1546"/>
      <c r="H102" s="146">
        <f>+H100+H101</f>
        <v>4505671</v>
      </c>
      <c r="I102" s="1261"/>
      <c r="J102" s="144"/>
      <c r="K102" s="1546"/>
      <c r="L102" s="146">
        <f>+L100+L101</f>
        <v>4294072</v>
      </c>
      <c r="M102" s="1251"/>
      <c r="O102" s="1546"/>
      <c r="P102" s="146">
        <f>+P100+P101</f>
        <v>4423623</v>
      </c>
      <c r="Q102" s="1251"/>
      <c r="R102" s="140"/>
      <c r="S102" s="142"/>
      <c r="T102" s="146">
        <f>+T100+T101</f>
        <v>4534814</v>
      </c>
      <c r="W102" s="142"/>
      <c r="X102" s="146">
        <f>+X100+X101</f>
        <v>4642916</v>
      </c>
      <c r="AA102" s="142"/>
      <c r="AB102" s="146">
        <f>+AB100+AB101</f>
        <v>4752910</v>
      </c>
    </row>
    <row r="103" spans="1:29" ht="15" customHeight="1" x14ac:dyDescent="0.25">
      <c r="A103" s="153"/>
      <c r="B103" s="1332"/>
      <c r="C103" s="1332"/>
      <c r="D103" s="5">
        <f>+D90-D102</f>
        <v>0</v>
      </c>
      <c r="E103" s="1249"/>
      <c r="F103" s="2"/>
      <c r="G103" s="1543"/>
      <c r="H103" s="5">
        <f>+H90-H102</f>
        <v>0</v>
      </c>
      <c r="K103" s="1543"/>
      <c r="L103" s="5">
        <f>+L90-L102</f>
        <v>0</v>
      </c>
      <c r="O103" s="1543"/>
      <c r="P103" s="5">
        <f>+P90-P102</f>
        <v>0</v>
      </c>
      <c r="S103" s="103"/>
      <c r="T103" s="5">
        <f>+T90-T102</f>
        <v>0</v>
      </c>
      <c r="W103" s="103"/>
      <c r="X103" s="5">
        <f>+X90-X102</f>
        <v>0</v>
      </c>
      <c r="AA103" s="103"/>
      <c r="AB103" s="5">
        <f>+AB90-AB102</f>
        <v>0</v>
      </c>
    </row>
    <row r="104" spans="1:29" x14ac:dyDescent="0.25">
      <c r="A104" s="153"/>
      <c r="B104" s="1332"/>
      <c r="C104" s="1332"/>
      <c r="D104" s="36"/>
      <c r="E104" s="1249"/>
      <c r="F104" s="2"/>
    </row>
    <row r="105" spans="1:29" x14ac:dyDescent="0.25">
      <c r="A105" s="153"/>
      <c r="B105" s="1319"/>
      <c r="C105" s="1254"/>
      <c r="D105" s="25"/>
      <c r="E105" s="1249"/>
      <c r="F105" s="2"/>
    </row>
    <row r="106" spans="1:29" x14ac:dyDescent="0.25">
      <c r="B106" s="1319"/>
      <c r="C106" s="1254"/>
      <c r="D106" s="36"/>
    </row>
    <row r="107" spans="1:29" x14ac:dyDescent="0.25">
      <c r="B107" s="1319"/>
      <c r="C107" s="1254"/>
      <c r="D107" s="36"/>
    </row>
    <row r="108" spans="1:29" ht="15" customHeight="1" x14ac:dyDescent="0.25">
      <c r="B108" s="1319"/>
      <c r="C108" s="1254"/>
      <c r="D108" s="36"/>
    </row>
    <row r="109" spans="1:29" x14ac:dyDescent="0.25">
      <c r="B109" s="1319"/>
      <c r="C109" s="1254"/>
      <c r="D109" s="36"/>
    </row>
    <row r="110" spans="1:29" x14ac:dyDescent="0.25">
      <c r="B110" s="1319"/>
      <c r="C110" s="1254"/>
      <c r="D110" s="36"/>
    </row>
    <row r="111" spans="1:29" ht="15" customHeight="1" x14ac:dyDescent="0.25">
      <c r="B111" s="2151"/>
      <c r="C111" s="2151"/>
      <c r="D111" s="36"/>
    </row>
    <row r="112" spans="1:29" x14ac:dyDescent="0.25">
      <c r="B112" s="2151"/>
      <c r="C112" s="2151"/>
      <c r="D112" s="36"/>
    </row>
    <row r="113" spans="2:4" x14ac:dyDescent="0.25">
      <c r="B113" s="1319"/>
      <c r="C113" s="1254"/>
      <c r="D113" s="6"/>
    </row>
    <row r="114" spans="2:4" x14ac:dyDescent="0.25">
      <c r="B114" s="1319"/>
      <c r="C114" s="1254"/>
      <c r="D114" s="36"/>
    </row>
    <row r="115" spans="2:4" x14ac:dyDescent="0.25">
      <c r="B115" s="1319"/>
      <c r="C115" s="1254"/>
      <c r="D115" s="36"/>
    </row>
    <row r="116" spans="2:4" ht="28.5" customHeight="1" x14ac:dyDescent="0.25">
      <c r="B116" s="1319"/>
      <c r="C116" s="1254"/>
      <c r="D116" s="25"/>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row r="127" spans="2:4" x14ac:dyDescent="0.25">
      <c r="B127" s="1319"/>
      <c r="C127" s="1254"/>
      <c r="D127" s="36"/>
    </row>
    <row r="128" spans="2:4" x14ac:dyDescent="0.25">
      <c r="B128" s="1319"/>
      <c r="C128" s="1254"/>
      <c r="D128" s="36"/>
    </row>
    <row r="129" spans="2:4" x14ac:dyDescent="0.25">
      <c r="B129" s="1319"/>
      <c r="C129" s="1254"/>
      <c r="D129" s="36"/>
    </row>
    <row r="130" spans="2:4" x14ac:dyDescent="0.25">
      <c r="B130" s="1319"/>
      <c r="C130" s="1254"/>
      <c r="D130" s="36"/>
    </row>
    <row r="131" spans="2:4" x14ac:dyDescent="0.25">
      <c r="B131" s="1319"/>
      <c r="C131" s="1254"/>
      <c r="D131" s="36"/>
    </row>
  </sheetData>
  <mergeCells count="1">
    <mergeCell ref="B111:C112"/>
  </mergeCells>
  <pageMargins left="0.25" right="0.25" top="0.5" bottom="0.5" header="0.25" footer="0.25"/>
  <pageSetup paperSize="5" scale="39" orientation="portrait" r:id="rId1"/>
  <headerFooter>
    <oddHeader>&amp;L&amp;F</oddHeader>
    <oddFooter>&amp;R&amp;A</oddFooter>
  </headerFooter>
  <ignoredErrors>
    <ignoredError sqref="B3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3"/>
  <sheetViews>
    <sheetView zoomScaleNormal="100" workbookViewId="0">
      <pane xSplit="3" ySplit="6" topLeftCell="D49"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24.85546875" style="1243" customWidth="1"/>
    <col min="4" max="4" width="16" style="2" customWidth="1"/>
    <col min="5" max="5" width="17.7109375" style="1243" customWidth="1"/>
    <col min="6" max="6" width="6" style="39" customWidth="1"/>
    <col min="7" max="7" width="10.7109375" style="1399" customWidth="1"/>
    <col min="8" max="8" width="13.85546875" style="123" bestFit="1" customWidth="1"/>
    <col min="9" max="9" width="26.42578125" style="1254" customWidth="1"/>
    <col min="10" max="10" width="5.7109375" style="59" customWidth="1"/>
    <col min="11" max="11" width="8.42578125" style="1550"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271</v>
      </c>
      <c r="D1" s="97">
        <v>0</v>
      </c>
      <c r="E1" s="1241"/>
      <c r="F1" s="98"/>
      <c r="G1" s="75"/>
      <c r="H1" s="99">
        <v>0</v>
      </c>
      <c r="I1" s="1241"/>
      <c r="L1" s="123">
        <v>0</v>
      </c>
      <c r="M1" s="1241"/>
      <c r="P1" s="123">
        <v>0</v>
      </c>
      <c r="Q1" s="1241"/>
      <c r="T1" s="86">
        <v>0</v>
      </c>
      <c r="U1" s="98"/>
      <c r="X1" s="86">
        <v>0</v>
      </c>
      <c r="Y1" s="98"/>
      <c r="AB1" s="86">
        <v>0</v>
      </c>
      <c r="AC1" s="98"/>
    </row>
    <row r="2" spans="1:29" ht="17.25" x14ac:dyDescent="0.4">
      <c r="B2" s="1319" t="s">
        <v>59</v>
      </c>
      <c r="C2" s="1425" t="s">
        <v>603</v>
      </c>
      <c r="D2" s="99">
        <v>0</v>
      </c>
      <c r="E2" s="1241"/>
      <c r="F2" s="98"/>
      <c r="G2" s="1534"/>
      <c r="H2" s="99">
        <v>0</v>
      </c>
      <c r="I2" s="1241"/>
      <c r="L2" s="87">
        <v>0</v>
      </c>
      <c r="M2" s="1241"/>
      <c r="P2" s="87">
        <v>0</v>
      </c>
      <c r="Q2" s="1241"/>
      <c r="T2" s="87">
        <v>0</v>
      </c>
      <c r="U2" s="98"/>
      <c r="X2" s="87">
        <v>0</v>
      </c>
      <c r="Y2" s="98"/>
      <c r="AB2" s="87">
        <v>0</v>
      </c>
      <c r="AC2" s="98"/>
    </row>
    <row r="3" spans="1:29" x14ac:dyDescent="0.25">
      <c r="D3" s="425">
        <f>+SUM(D1:D2)</f>
        <v>0</v>
      </c>
      <c r="E3" s="1242"/>
      <c r="F3" s="100"/>
      <c r="G3" s="1527"/>
      <c r="H3" s="425">
        <f>+SUM(H1:H2)</f>
        <v>0</v>
      </c>
      <c r="I3" s="1253"/>
      <c r="L3" s="123">
        <f>SUM(L1:L2)</f>
        <v>0</v>
      </c>
      <c r="M3" s="1254"/>
      <c r="P3" s="123">
        <f>SUM(P1:P2)</f>
        <v>0</v>
      </c>
      <c r="Q3" s="1254"/>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2095.1999999999998</v>
      </c>
      <c r="E7" s="1315"/>
      <c r="H7" s="2">
        <f>D96</f>
        <v>8404.0000000000473</v>
      </c>
      <c r="I7" s="1315"/>
      <c r="J7" s="60"/>
      <c r="L7" s="2">
        <f>H96</f>
        <v>4.7293724492192268E-11</v>
      </c>
      <c r="M7" s="1315"/>
      <c r="P7" s="2">
        <f>L96</f>
        <v>3965.0000000000473</v>
      </c>
      <c r="Q7" s="1315"/>
      <c r="T7" s="2">
        <f>P96</f>
        <v>12202.000000000047</v>
      </c>
      <c r="U7" s="105"/>
      <c r="X7" s="2">
        <f>T96</f>
        <v>-1024919</v>
      </c>
      <c r="Y7" s="105"/>
      <c r="AB7" s="2">
        <f>X96</f>
        <v>-2096536</v>
      </c>
      <c r="AC7" s="105"/>
    </row>
    <row r="8" spans="1:29" x14ac:dyDescent="0.25">
      <c r="E8" s="1315"/>
      <c r="H8" s="2"/>
      <c r="I8" s="1315"/>
      <c r="L8" s="2"/>
      <c r="M8" s="1315"/>
      <c r="Q8" s="1315"/>
      <c r="U8" s="105"/>
      <c r="Y8" s="105"/>
      <c r="AC8" s="105"/>
    </row>
    <row r="9" spans="1:29" x14ac:dyDescent="0.25">
      <c r="B9" s="1317" t="s">
        <v>52</v>
      </c>
      <c r="C9" s="1243" t="s">
        <v>414</v>
      </c>
      <c r="D9" s="2">
        <v>923365.8</v>
      </c>
      <c r="E9" s="1315"/>
      <c r="G9" s="1527">
        <f>IF(D9=0,"0.00%",(H9-D9)/D9)</f>
        <v>3.1019342496765585E-2</v>
      </c>
      <c r="H9" s="163">
        <v>952008</v>
      </c>
      <c r="I9" s="1315"/>
      <c r="J9" s="61"/>
      <c r="K9" s="1527">
        <f>IF(H9=0,"0.00%",(L9-H9)/H9)</f>
        <v>1.3969420425038445E-2</v>
      </c>
      <c r="L9" s="163">
        <v>965307</v>
      </c>
      <c r="M9" s="1315"/>
      <c r="O9" s="1527">
        <f>IF(L9=0,"0.00%",(P9-L9)/L9)</f>
        <v>3.9702395196554052E-2</v>
      </c>
      <c r="P9" s="163">
        <v>1003632</v>
      </c>
      <c r="Q9" s="1315"/>
      <c r="S9" s="83">
        <f>IF(P9=0,"0.00%",(T9-P9)/P9)</f>
        <v>-1</v>
      </c>
      <c r="T9" s="3">
        <f>T3</f>
        <v>0</v>
      </c>
      <c r="U9" s="105"/>
      <c r="W9" s="83" t="str">
        <f>IF(T9=0,"0.00%",(X9-T9)/T9)</f>
        <v>0.00%</v>
      </c>
      <c r="X9" s="3">
        <f>X3</f>
        <v>0</v>
      </c>
      <c r="Y9" s="105"/>
      <c r="AA9" s="83" t="str">
        <f>IF(X9=0,"0.00%",(AB9-X9)/X9)</f>
        <v>0.00%</v>
      </c>
      <c r="AB9" s="3">
        <f>AB3</f>
        <v>0</v>
      </c>
      <c r="AC9" s="105"/>
    </row>
    <row r="10" spans="1:29" x14ac:dyDescent="0.25">
      <c r="C10" s="1243" t="s">
        <v>438</v>
      </c>
      <c r="D10" s="2">
        <v>6500</v>
      </c>
      <c r="E10" s="1315"/>
      <c r="G10" s="1527">
        <f t="shared" ref="G10:G15" si="0">IF(D10=0,"0.00%",(H10-D10)/D10)</f>
        <v>7.6923076923076927E-2</v>
      </c>
      <c r="H10" s="3">
        <v>7000</v>
      </c>
      <c r="I10" s="1315"/>
      <c r="J10" s="61"/>
      <c r="K10" s="1527">
        <f>IF(H10=0,"0.00%",(L10-H10)/H10)</f>
        <v>0</v>
      </c>
      <c r="L10" s="3">
        <f>+H10</f>
        <v>7000</v>
      </c>
      <c r="M10" s="1315"/>
      <c r="O10" s="1527">
        <f>IF(L10=0,"0.00%",(P10-L10)/L10)</f>
        <v>0</v>
      </c>
      <c r="P10" s="3">
        <f>+L10</f>
        <v>7000</v>
      </c>
      <c r="Q10" s="1315"/>
      <c r="S10" s="83">
        <f>IF(P10=0,"0.00%",(T10-P10)/P10)</f>
        <v>-1</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929865.8</v>
      </c>
      <c r="E11" s="1315"/>
      <c r="G11" s="1527">
        <f t="shared" si="0"/>
        <v>3.1340221352371439E-2</v>
      </c>
      <c r="H11" s="8">
        <f>SUM(H9:H10)</f>
        <v>959008</v>
      </c>
      <c r="I11" s="1882">
        <f>+H11-D11</f>
        <v>29142.199999999953</v>
      </c>
      <c r="J11" s="62"/>
      <c r="K11" s="1527">
        <f>IF(H11=0,"0.00%",(L11-H11)/H11)</f>
        <v>1.38674547031933E-2</v>
      </c>
      <c r="L11" s="8">
        <f>SUM(L9:L10)</f>
        <v>972307</v>
      </c>
      <c r="M11" s="1882">
        <f>+L11-H11</f>
        <v>13299</v>
      </c>
      <c r="O11" s="1527">
        <f>IF(L11=0,"0.00%",(P11-L11)/L11)</f>
        <v>3.9416562875717237E-2</v>
      </c>
      <c r="P11" s="8">
        <f>SUM(P9:P10)</f>
        <v>1010632</v>
      </c>
      <c r="Q11" s="1882">
        <f>+P11-L11</f>
        <v>38325</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882"/>
      <c r="O12" s="1399"/>
      <c r="P12" s="3"/>
      <c r="Q12" s="1315"/>
      <c r="S12" s="46"/>
      <c r="T12" s="44"/>
      <c r="U12" s="105"/>
      <c r="W12" s="46"/>
      <c r="X12" s="44"/>
      <c r="Y12" s="105"/>
      <c r="AA12" s="46"/>
      <c r="AB12" s="44"/>
      <c r="AC12" s="105"/>
    </row>
    <row r="13" spans="1:29" x14ac:dyDescent="0.25">
      <c r="C13" s="1325" t="s">
        <v>64</v>
      </c>
      <c r="D13" s="9">
        <f>ROUND(D11-(D11/(1+E13)),0)</f>
        <v>0</v>
      </c>
      <c r="E13" s="52">
        <v>0</v>
      </c>
      <c r="G13" s="1527" t="str">
        <f t="shared" si="0"/>
        <v>0.00%</v>
      </c>
      <c r="H13" s="9">
        <f>ROUND(H11-(H11/(1+E13)),0)</f>
        <v>0</v>
      </c>
      <c r="I13" s="1315"/>
      <c r="J13" s="64"/>
      <c r="K13" s="1527" t="str">
        <f>IF(H13=0,"0.00%",(L13-H13)/H13)</f>
        <v>0.00%</v>
      </c>
      <c r="L13" s="9">
        <f>ROUND(L11-(L11/(1+E13)),0)</f>
        <v>0</v>
      </c>
      <c r="M13" s="1315"/>
      <c r="O13" s="1527" t="str">
        <f>IF(L13=0,"0.00%",(P13-L13)/L13)</f>
        <v>0.00%</v>
      </c>
      <c r="P13" s="9">
        <f>ROUND(P11-(P11/(1+E13)),0)</f>
        <v>0</v>
      </c>
      <c r="Q13" s="1315"/>
      <c r="S13" s="83" t="str">
        <f>IF(P13=0,"0.00%",(T13-P13)/P13)</f>
        <v>0.00%</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D11-D13+D7</f>
        <v>931961</v>
      </c>
      <c r="E15" s="1315"/>
      <c r="G15" s="1527">
        <f t="shared" si="0"/>
        <v>3.8039145414883242E-2</v>
      </c>
      <c r="H15" s="10">
        <f>H11-H13+H7</f>
        <v>967412</v>
      </c>
      <c r="I15" s="1882">
        <f>+H15-D15</f>
        <v>35451</v>
      </c>
      <c r="J15" s="62"/>
      <c r="K15" s="1527">
        <f>IF(H15=0,"0.00%",(L15-H15)/H15)</f>
        <v>5.059891752428128E-3</v>
      </c>
      <c r="L15" s="10">
        <f>L11-L13+L7</f>
        <v>972307</v>
      </c>
      <c r="M15" s="1882">
        <f>+L15-H15</f>
        <v>4895</v>
      </c>
      <c r="O15" s="1527">
        <f>IF(L15=0,"0.00%",(P15-L15)/L15)</f>
        <v>4.3494492994496592E-2</v>
      </c>
      <c r="P15" s="10">
        <f>P11-P13+P7</f>
        <v>1014597</v>
      </c>
      <c r="Q15" s="1882">
        <f>+P15-L15</f>
        <v>42290</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04">
        <v>1.4999999999999999E-2</v>
      </c>
      <c r="P19" s="14" t="s">
        <v>48</v>
      </c>
      <c r="Q19" s="104">
        <v>1.4999999999999999E-2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2" si="1">IF(D21=0,"0.00%",(H21-D21)/D21)</f>
        <v>0.00%</v>
      </c>
      <c r="H21" s="2">
        <f t="shared" ref="H21:H27" si="2">ROUND(D21*(1+$I$19),0)</f>
        <v>0</v>
      </c>
      <c r="I21" s="1240" t="str">
        <f t="shared" ref="I21:I31" si="3">TEXT($I$19,"0.0%")&amp;" = Est. S &amp; C"</f>
        <v>0.0% = Est. S &amp; C</v>
      </c>
      <c r="J21" s="66"/>
      <c r="K21" s="1527" t="str">
        <f t="shared" ref="K21:K27" si="4">IF(H21=0,"0.00%",(L21-H21)/H21)</f>
        <v>0.00%</v>
      </c>
      <c r="L21" s="2">
        <f>ROUND(H21*(1+M19),0)</f>
        <v>0</v>
      </c>
      <c r="M21" s="1257" t="str">
        <f>TEXT(M19,"0.0%")&amp;" = Est. S &amp; C"</f>
        <v>1.5% = Est. S &amp; C</v>
      </c>
      <c r="O21" s="1527" t="str">
        <f t="shared" ref="O21:O27" si="5">IF(L21=0,"0.00%",(P21-L21)/L21)</f>
        <v>0.00%</v>
      </c>
      <c r="P21" s="2">
        <f>ROUND(L21*(1+Q19),0)</f>
        <v>0</v>
      </c>
      <c r="Q21" s="1257" t="str">
        <f>TEXT(Q19,"0.0%")&amp;" = Est. S &amp; C"</f>
        <v>1.5%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0.0% = Est. S &amp; C</v>
      </c>
      <c r="J22" s="66"/>
      <c r="K22" s="1527" t="str">
        <f t="shared" si="4"/>
        <v>0.00%</v>
      </c>
      <c r="L22" s="2">
        <f>ROUND(H22*(1+M19),0)</f>
        <v>0</v>
      </c>
      <c r="M22" s="1257" t="str">
        <f>TEXT(M19,"0.0%")&amp;" = Est. S &amp; C"</f>
        <v>1.5% = Est. S &amp; C</v>
      </c>
      <c r="O22" s="1527" t="str">
        <f t="shared" si="5"/>
        <v>0.00%</v>
      </c>
      <c r="P22" s="2">
        <f>ROUND(L22*(1+Q19),0)</f>
        <v>0</v>
      </c>
      <c r="Q22" s="1257" t="str">
        <f>TEXT(Q19,"0.0%")&amp;" = Est. S &amp; C"</f>
        <v>1.5%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0.0% = Est. S &amp; C</v>
      </c>
      <c r="J23" s="66"/>
      <c r="K23" s="1527" t="str">
        <f t="shared" si="4"/>
        <v>0.00%</v>
      </c>
      <c r="L23" s="2">
        <f>ROUND(H23*(1+M19),0)</f>
        <v>0</v>
      </c>
      <c r="M23" s="1257" t="str">
        <f>TEXT(M19,"0.0%")&amp;" = Est. S &amp; C"</f>
        <v>1.5% = Est. S &amp; C</v>
      </c>
      <c r="O23" s="1527" t="str">
        <f t="shared" si="5"/>
        <v>0.00%</v>
      </c>
      <c r="P23" s="2">
        <f>ROUND(L23*(1+Q19),0)</f>
        <v>0</v>
      </c>
      <c r="Q23" s="1257" t="str">
        <f>TEXT(Q19,"0.0%")&amp;" = Est. S &amp; C"</f>
        <v>1.5%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0.0% = Est. S &amp; C</v>
      </c>
      <c r="J24" s="66"/>
      <c r="K24" s="1527" t="str">
        <f t="shared" si="4"/>
        <v>0.00%</v>
      </c>
      <c r="L24" s="2">
        <f>ROUND(H24*(1+M19),0)</f>
        <v>0</v>
      </c>
      <c r="M24" s="1257" t="str">
        <f>TEXT(M19,"0.0%")&amp;" = Est. S &amp; C"</f>
        <v>1.5% = Est. S &amp; C</v>
      </c>
      <c r="O24" s="1527" t="str">
        <f t="shared" si="5"/>
        <v>0.00%</v>
      </c>
      <c r="P24" s="2">
        <f>ROUND(L24*(1+Q19),0)</f>
        <v>0</v>
      </c>
      <c r="Q24" s="1257" t="str">
        <f>TEXT(Q19,"0.0%")&amp;" = Est. S &amp; C"</f>
        <v>1.5%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ROUND(D25*(1+$I$19),0)</f>
        <v>0</v>
      </c>
      <c r="I25" s="1257" t="str">
        <f t="shared" si="3"/>
        <v>0.0% = Est. S &amp; C</v>
      </c>
      <c r="J25" s="66"/>
      <c r="K25" s="1527" t="str">
        <f t="shared" si="4"/>
        <v>0.00%</v>
      </c>
      <c r="L25" s="2">
        <f>ROUND(H25*(1+M19),0)</f>
        <v>0</v>
      </c>
      <c r="M25" s="1257" t="str">
        <f>TEXT(M19,"0.0%")&amp;" = Est. S &amp; C"</f>
        <v>1.5% = Est. S &amp; C</v>
      </c>
      <c r="O25" s="1527" t="str">
        <f t="shared" si="5"/>
        <v>0.00%</v>
      </c>
      <c r="P25" s="2">
        <f>ROUND(L25*(1+Q19),0)</f>
        <v>0</v>
      </c>
      <c r="Q25" s="1257" t="str">
        <f>TEXT(Q19,"0.0%")&amp;" = Est. S &amp; C"</f>
        <v>1.5%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0.0% = Est. S &amp; C</v>
      </c>
      <c r="J26" s="66"/>
      <c r="K26" s="1527" t="str">
        <f t="shared" si="4"/>
        <v>0.00%</v>
      </c>
      <c r="L26" s="2">
        <f>ROUND(H26*(1+M19),0)</f>
        <v>0</v>
      </c>
      <c r="M26" s="1257" t="str">
        <f>TEXT(M19,"0.0%")&amp;" = Est. S &amp; C"</f>
        <v>1.5% = Est. S &amp; C</v>
      </c>
      <c r="O26" s="1527" t="str">
        <f t="shared" si="5"/>
        <v>0.00%</v>
      </c>
      <c r="P26" s="2">
        <f>ROUND(L26*(1+Q19),0)</f>
        <v>0</v>
      </c>
      <c r="Q26" s="1257" t="str">
        <f>TEXT(Q19,"0.0%")&amp;" = Est. S &amp; C"</f>
        <v>1.5%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0.0% = Est. S &amp; C</v>
      </c>
      <c r="J27" s="66"/>
      <c r="K27" s="1527" t="str">
        <f t="shared" si="4"/>
        <v>0.00%</v>
      </c>
      <c r="L27" s="2">
        <f>ROUND(H27*(1+$M$19),0)</f>
        <v>0</v>
      </c>
      <c r="M27" s="1257" t="str">
        <f>TEXT(M19,"0.0%")&amp;" = Est. S &amp; C"</f>
        <v>1.5% = Est. S &amp; C</v>
      </c>
      <c r="O27" s="1527" t="str">
        <f t="shared" si="5"/>
        <v>0.00%</v>
      </c>
      <c r="P27" s="2">
        <f>ROUND(L27*(1+$Q$19),0)</f>
        <v>0</v>
      </c>
      <c r="Q27" s="1257" t="str">
        <f>TEXT($Q$19,"0.0%")&amp;" = Est. S &amp; C"</f>
        <v>1.5%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0.0% = Est. S &amp; C</v>
      </c>
      <c r="J28" s="66"/>
      <c r="K28" s="1527" t="str">
        <f>IF(H28=0,"0.00%",(L28-H28)/H28)</f>
        <v>0.00%</v>
      </c>
      <c r="L28" s="2">
        <f t="shared" ref="L28:L30" si="9">ROUND(H28*(1+$M$19),0)</f>
        <v>0</v>
      </c>
      <c r="M28" s="1257" t="str">
        <f>TEXT($M$19,"0.0%")&amp;" = Est. S &amp; C"</f>
        <v>1.5% = Est. S &amp; C</v>
      </c>
      <c r="O28" s="1527" t="str">
        <f>IF(L28=0,"0.00%",(P28-L28)/L28)</f>
        <v>0.00%</v>
      </c>
      <c r="P28" s="2">
        <f t="shared" ref="P28:P30" si="10">ROUND(L28*(1+$Q$19),0)</f>
        <v>0</v>
      </c>
      <c r="Q28" s="1257" t="str">
        <f t="shared" ref="Q28:Q30" si="11">TEXT($Q$19,"0.0%")&amp;" = Est. S &amp; C"</f>
        <v>1.5%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idden="1" x14ac:dyDescent="0.25">
      <c r="A29" s="153"/>
      <c r="B29" s="1326"/>
      <c r="D29" s="2">
        <v>0</v>
      </c>
      <c r="E29" s="1249"/>
      <c r="F29" s="2"/>
      <c r="G29" s="1527" t="str">
        <f>IF(D29=0,"0.00%",(H29-D29)/D29)</f>
        <v>0.00%</v>
      </c>
      <c r="H29" s="2">
        <f>ROUND(D29*(1+$I$19),0)</f>
        <v>0</v>
      </c>
      <c r="I29" s="1257" t="str">
        <f t="shared" si="3"/>
        <v>0.0% = Est. S &amp; C</v>
      </c>
      <c r="J29" s="66"/>
      <c r="K29" s="1527" t="str">
        <f t="shared" ref="K29:K31" si="12">IF(H29=0,"0.00%",(L29-H29)/H29)</f>
        <v>0.00%</v>
      </c>
      <c r="L29" s="2">
        <f t="shared" si="9"/>
        <v>0</v>
      </c>
      <c r="M29" s="1257" t="str">
        <f t="shared" ref="M29:M30" si="13">TEXT($M$19,"0.0%")&amp;" = Est. S &amp; C"</f>
        <v>1.5% = Est. S &amp; C</v>
      </c>
      <c r="O29" s="1527" t="str">
        <f t="shared" ref="O29:O32" si="14">IF(L29=0,"0.00%",(P29-L29)/L29)</f>
        <v>0.00%</v>
      </c>
      <c r="P29" s="2">
        <f t="shared" si="10"/>
        <v>0</v>
      </c>
      <c r="Q29" s="1257" t="str">
        <f t="shared" si="11"/>
        <v>1.5% = Est. S &amp; C</v>
      </c>
      <c r="T29" s="2"/>
      <c r="U29" s="73"/>
      <c r="X29" s="2"/>
      <c r="Y29" s="73"/>
      <c r="AB29" s="2"/>
      <c r="AC29" s="73"/>
    </row>
    <row r="30" spans="1:29" hidden="1" x14ac:dyDescent="0.25">
      <c r="A30" s="153"/>
      <c r="B30" s="1326"/>
      <c r="D30" s="2">
        <v>0</v>
      </c>
      <c r="E30" s="1249"/>
      <c r="F30" s="2"/>
      <c r="G30" s="1527" t="str">
        <f>IF(D30=0,"0.00%",(H30-D30)/D30)</f>
        <v>0.00%</v>
      </c>
      <c r="H30" s="2">
        <f>ROUND(D30*(1+$I$19),0)</f>
        <v>0</v>
      </c>
      <c r="I30" s="1257" t="str">
        <f t="shared" si="3"/>
        <v>0.0% = Est. S &amp; C</v>
      </c>
      <c r="J30" s="66"/>
      <c r="K30" s="1527" t="str">
        <f t="shared" si="12"/>
        <v>0.00%</v>
      </c>
      <c r="L30" s="2">
        <f t="shared" si="9"/>
        <v>0</v>
      </c>
      <c r="M30" s="1257" t="str">
        <f t="shared" si="13"/>
        <v>1.5% = Est. S &amp; C</v>
      </c>
      <c r="O30" s="1527" t="str">
        <f t="shared" si="14"/>
        <v>0.00%</v>
      </c>
      <c r="P30" s="2">
        <f t="shared" si="10"/>
        <v>0</v>
      </c>
      <c r="Q30" s="1257" t="str">
        <f t="shared" si="11"/>
        <v>1.5% = Est. S &amp; C</v>
      </c>
      <c r="T30" s="2"/>
      <c r="U30" s="73"/>
      <c r="X30" s="2"/>
      <c r="Y30" s="73"/>
      <c r="AB30" s="2"/>
      <c r="AC30" s="73"/>
    </row>
    <row r="31" spans="1:29" hidden="1" x14ac:dyDescent="0.25">
      <c r="A31" s="153"/>
      <c r="B31" s="1326"/>
      <c r="D31" s="2">
        <v>0</v>
      </c>
      <c r="E31" s="1249"/>
      <c r="F31" s="2"/>
      <c r="G31" s="1527" t="str">
        <f>IF(D31=0,"0.00%",(H31-D31)/D31)</f>
        <v>0.00%</v>
      </c>
      <c r="H31" s="2">
        <f>ROUND(D31*(1+$I$19),0)</f>
        <v>0</v>
      </c>
      <c r="I31" s="1240" t="str">
        <f t="shared" si="3"/>
        <v>0.0% = Est. S &amp; C</v>
      </c>
      <c r="J31" s="66"/>
      <c r="K31" s="1527" t="str">
        <f t="shared" si="12"/>
        <v>0.00%</v>
      </c>
      <c r="L31" s="2">
        <v>0</v>
      </c>
      <c r="M31" s="1240"/>
      <c r="O31" s="1527" t="str">
        <f t="shared" si="14"/>
        <v>0.00%</v>
      </c>
      <c r="P31" s="2">
        <v>0</v>
      </c>
      <c r="Q31" s="1240" t="s">
        <v>426</v>
      </c>
      <c r="T31" s="2"/>
      <c r="U31" s="73"/>
      <c r="X31" s="2"/>
      <c r="Y31" s="73"/>
      <c r="AB31" s="2"/>
      <c r="AC31" s="73"/>
    </row>
    <row r="32" spans="1:29" hidden="1" x14ac:dyDescent="0.25">
      <c r="A32" s="154"/>
      <c r="B32" s="1326"/>
      <c r="D32" s="8">
        <f>SUM(D21:D31)</f>
        <v>0</v>
      </c>
      <c r="E32" s="1249"/>
      <c r="F32" s="2"/>
      <c r="G32" s="1527" t="str">
        <f t="shared" si="1"/>
        <v>0.00%</v>
      </c>
      <c r="H32" s="8">
        <f>SUM(H21:H31)</f>
        <v>0</v>
      </c>
      <c r="I32" s="1258"/>
      <c r="J32" s="29"/>
      <c r="K32" s="1527" t="str">
        <f>IF(H32=0,"0.00%",(L32-H32)/H32)</f>
        <v>0.00%</v>
      </c>
      <c r="L32" s="8">
        <f>SUM(L21:L31)</f>
        <v>0</v>
      </c>
      <c r="M32" s="1335"/>
      <c r="O32" s="1527" t="str">
        <f t="shared" si="14"/>
        <v>0.00%</v>
      </c>
      <c r="P32" s="8">
        <f>SUM(P21:P31)</f>
        <v>0</v>
      </c>
      <c r="Q32" s="1335"/>
      <c r="S32" s="83" t="str">
        <f>IF(P32=0,"0.00%",(T32-P32)/P32)</f>
        <v>0.00%</v>
      </c>
      <c r="T32" s="8">
        <f>SUM(T21:T29)</f>
        <v>0</v>
      </c>
      <c r="U32" s="73"/>
      <c r="W32" s="83" t="str">
        <f>IF(T32=0,"0.00%",(X32-T32)/T32)</f>
        <v>0.00%</v>
      </c>
      <c r="X32" s="8">
        <f>SUM(X21:X29)</f>
        <v>0</v>
      </c>
      <c r="Y32" s="73"/>
      <c r="AA32" s="83" t="str">
        <f>IF(X32=0,"0.00%",(AB32-X32)/X32)</f>
        <v>0.00%</v>
      </c>
      <c r="AB32" s="8">
        <f>SUM(AB21:AB29)</f>
        <v>0</v>
      </c>
      <c r="AC32" s="73"/>
    </row>
    <row r="33" spans="1:29" x14ac:dyDescent="0.25">
      <c r="A33" s="153"/>
      <c r="E33" s="1249"/>
      <c r="F33" s="2"/>
      <c r="H33" s="2"/>
      <c r="I33" s="1257"/>
      <c r="J33" s="66"/>
      <c r="L33" s="2"/>
      <c r="M33" s="1335"/>
      <c r="Q33" s="1335"/>
      <c r="T33" s="2"/>
      <c r="U33" s="73"/>
      <c r="X33" s="2"/>
      <c r="Y33" s="73"/>
      <c r="AB33" s="2"/>
      <c r="AC33" s="73"/>
    </row>
    <row r="34" spans="1:29" s="4" customFormat="1" x14ac:dyDescent="0.25">
      <c r="A34" s="151"/>
      <c r="B34" s="1327" t="s">
        <v>35</v>
      </c>
      <c r="C34" s="1259"/>
      <c r="D34" s="6"/>
      <c r="E34" s="1250"/>
      <c r="F34" s="6"/>
      <c r="G34" s="1539"/>
      <c r="H34" s="6"/>
      <c r="I34" s="1250"/>
      <c r="J34" s="57"/>
      <c r="K34" s="1571"/>
      <c r="L34" s="6"/>
      <c r="M34" s="1337"/>
      <c r="O34" s="1571"/>
      <c r="P34" s="6"/>
      <c r="Q34" s="1337"/>
      <c r="R34" s="111"/>
      <c r="T34" s="6"/>
      <c r="U34" s="71"/>
      <c r="X34" s="6"/>
      <c r="Y34" s="71"/>
      <c r="AB34" s="6"/>
      <c r="AC34" s="71"/>
    </row>
    <row r="35" spans="1:29" x14ac:dyDescent="0.25">
      <c r="A35" s="153"/>
      <c r="B35" s="1326" t="s">
        <v>251</v>
      </c>
      <c r="C35" s="1243" t="s">
        <v>424</v>
      </c>
      <c r="D35" s="2">
        <f>345100+63210+56218+53529+5000</f>
        <v>523057</v>
      </c>
      <c r="E35" s="1249"/>
      <c r="F35" s="2"/>
      <c r="G35" s="1527">
        <f t="shared" ref="G35:G41" si="15">IF(D35=0,"0.00%",(H35-D35)/D35)</f>
        <v>3.8468082828448907E-2</v>
      </c>
      <c r="H35" s="2">
        <f>364696+62966+56008+56008+1000+2500</f>
        <v>543178</v>
      </c>
      <c r="I35" s="1257"/>
      <c r="J35" s="66"/>
      <c r="K35" s="1527">
        <f t="shared" ref="K35:K41" si="16">IF(H35=0,"0.00%",(L35-H35)/H35)</f>
        <v>1.5000607535651297E-2</v>
      </c>
      <c r="L35" s="2">
        <f>ROUND(H35*(1+M19),0)</f>
        <v>551326</v>
      </c>
      <c r="M35" s="1257" t="str">
        <f>TEXT(M19,"0.0%")&amp;" = Est. S &amp; C"</f>
        <v>1.5% = Est. S &amp; C</v>
      </c>
      <c r="O35" s="1527">
        <f t="shared" ref="O35:O41" si="17">IF(L35=0,"0.00%",(P35-L35)/L35)</f>
        <v>1.5000199518977882E-2</v>
      </c>
      <c r="P35" s="2">
        <f>ROUND(L35*(1+Q19),0)</f>
        <v>559596</v>
      </c>
      <c r="Q35" s="1257" t="str">
        <f>TEXT(Q19,"0.0%")&amp;" = Est. S &amp; C"</f>
        <v>1.5% = Est. S &amp; C</v>
      </c>
      <c r="S35" s="83">
        <f t="shared" ref="S35:S41" si="18">IF(P35=0,"0.00%",(T35-P35)/P35)</f>
        <v>2.0000142960278487E-2</v>
      </c>
      <c r="T35" s="2">
        <f>ROUND(P35*(1+U19),0)</f>
        <v>570788</v>
      </c>
      <c r="U35" s="36" t="str">
        <f>TEXT(U19,"0.0%")&amp;" = Est. S &amp; C"</f>
        <v>2.0% = Est. S &amp; C</v>
      </c>
      <c r="W35" s="83">
        <f t="shared" ref="W35:W41" si="19">IF(T35=0,"0.00%",(X35-T35)/T35)</f>
        <v>2.0000420471348382E-2</v>
      </c>
      <c r="X35" s="2">
        <f>ROUND(T35*(1+Y19),0)</f>
        <v>582204</v>
      </c>
      <c r="Y35" s="36" t="str">
        <f>TEXT(Y19,"0.0%")&amp;" = Est. S &amp; C"</f>
        <v>2.0% = Est. S &amp; C</v>
      </c>
      <c r="AA35" s="83">
        <f t="shared" ref="AA35:AA41" si="20">IF(X35=0,"0.00%",(AB35-X35)/X35)</f>
        <v>1.9999862591119265E-2</v>
      </c>
      <c r="AB35" s="2">
        <f>ROUND(X35*(1+AC19),0)</f>
        <v>593848</v>
      </c>
      <c r="AC35" s="36" t="str">
        <f>TEXT(AC19,"0.0%")&amp;" = Est. S &amp; C"</f>
        <v>2.0% = Est. S &amp; C</v>
      </c>
    </row>
    <row r="36" spans="1:29" x14ac:dyDescent="0.25">
      <c r="A36" s="153"/>
      <c r="B36" s="1326" t="s">
        <v>322</v>
      </c>
      <c r="C36" s="1243" t="s">
        <v>439</v>
      </c>
      <c r="D36" s="2">
        <f>14976+64089</f>
        <v>79065</v>
      </c>
      <c r="E36" s="1249"/>
      <c r="F36" s="2"/>
      <c r="G36" s="1527">
        <f t="shared" si="15"/>
        <v>3.0468601783342819E-2</v>
      </c>
      <c r="H36" s="2">
        <f>14981+66493</f>
        <v>81474</v>
      </c>
      <c r="I36" s="1257"/>
      <c r="J36" s="66"/>
      <c r="K36" s="1527">
        <f t="shared" si="16"/>
        <v>1.4998649876034073E-2</v>
      </c>
      <c r="L36" s="2">
        <f>ROUND(H36*(1+M19),0)</f>
        <v>82696</v>
      </c>
      <c r="M36" s="1257" t="str">
        <f>TEXT(M19,"0.0%")&amp;" = Est. S &amp; C"</f>
        <v>1.5% = Est. S &amp; C</v>
      </c>
      <c r="O36" s="1527">
        <f t="shared" si="17"/>
        <v>1.4994679307342556E-2</v>
      </c>
      <c r="P36" s="2">
        <f>ROUND(L36*(1+Q19),0)</f>
        <v>83936</v>
      </c>
      <c r="Q36" s="1257" t="str">
        <f>TEXT(Q19,"0.0%")&amp;" = Est. S &amp; C"</f>
        <v>1.5% = Est. S &amp; C</v>
      </c>
      <c r="S36" s="83">
        <f t="shared" si="18"/>
        <v>2.0003335874952344E-2</v>
      </c>
      <c r="T36" s="2">
        <f>ROUND(P36*(1+U19),0)</f>
        <v>85615</v>
      </c>
      <c r="U36" s="36" t="str">
        <f>TEXT(U19,"0.0%")&amp;" = Est. S &amp; C"</f>
        <v>2.0% = Est. S &amp; C</v>
      </c>
      <c r="W36" s="83">
        <f t="shared" si="19"/>
        <v>1.9996495941131811E-2</v>
      </c>
      <c r="X36" s="2">
        <f>ROUND(T36*(1+Y19),0)</f>
        <v>87327</v>
      </c>
      <c r="Y36" s="36" t="str">
        <f>TEXT(Y19,"0.0%")&amp;" = Est. S &amp; C"</f>
        <v>2.0% = Est. S &amp; C</v>
      </c>
      <c r="AA36" s="83">
        <f t="shared" si="20"/>
        <v>2.0005267557570969E-2</v>
      </c>
      <c r="AB36" s="2">
        <f>ROUND(X36*(1+AC19),0)</f>
        <v>89074</v>
      </c>
      <c r="AC36" s="36" t="str">
        <f>TEXT(AC19,"0.0%")&amp;" = Est. S &amp; C"</f>
        <v>2.0% = Est. S &amp; C</v>
      </c>
    </row>
    <row r="37" spans="1:29" x14ac:dyDescent="0.25">
      <c r="A37" s="153"/>
      <c r="B37" s="1326" t="s">
        <v>252</v>
      </c>
      <c r="C37" s="1243" t="s">
        <v>879</v>
      </c>
      <c r="D37" s="2">
        <v>300</v>
      </c>
      <c r="E37" s="1249"/>
      <c r="F37" s="2"/>
      <c r="G37" s="1527">
        <f t="shared" si="15"/>
        <v>-1</v>
      </c>
      <c r="H37" s="2">
        <v>0</v>
      </c>
      <c r="I37" s="1257"/>
      <c r="J37" s="66"/>
      <c r="K37" s="1527" t="str">
        <f t="shared" si="16"/>
        <v>0.00%</v>
      </c>
      <c r="L37" s="2">
        <f>ROUND(H37*(1+M19),0)</f>
        <v>0</v>
      </c>
      <c r="M37" s="1257" t="str">
        <f>TEXT(M19,"0.0%")&amp;" = Est. S &amp; C"</f>
        <v>1.5% = Est. S &amp; C</v>
      </c>
      <c r="O37" s="1527" t="str">
        <f t="shared" si="17"/>
        <v>0.00%</v>
      </c>
      <c r="P37" s="2">
        <f>ROUND(L37*(1+Q19),0)</f>
        <v>0</v>
      </c>
      <c r="Q37" s="1257" t="str">
        <f>TEXT(Q19,"0.0%")&amp;" = Est. S &amp; C"</f>
        <v>1.5% = Est. S &amp; C</v>
      </c>
      <c r="S37" s="83" t="str">
        <f t="shared" si="18"/>
        <v>0.00%</v>
      </c>
      <c r="T37" s="2">
        <f>ROUND(P37*(1+U19),0)</f>
        <v>0</v>
      </c>
      <c r="U37" s="36" t="str">
        <f>TEXT(U19,"0.0%")&amp;" = Est. S &amp; C"</f>
        <v>2.0% = Est. S &amp; C</v>
      </c>
      <c r="W37" s="83" t="str">
        <f t="shared" si="19"/>
        <v>0.00%</v>
      </c>
      <c r="X37" s="2">
        <f>ROUND(T37*(1+Y19),0)</f>
        <v>0</v>
      </c>
      <c r="Y37" s="36" t="str">
        <f>TEXT(Y19,"0.0%")&amp;" = Est. S &amp; C"</f>
        <v>2.0% = Est. S &amp; C</v>
      </c>
      <c r="AA37" s="83" t="str">
        <f t="shared" si="20"/>
        <v>0.00%</v>
      </c>
      <c r="AB37" s="2">
        <f>ROUND(X37*(1+AC19),0)</f>
        <v>0</v>
      </c>
      <c r="AC37" s="36" t="str">
        <f>TEXT(AC19,"0.0%")&amp;" = Est. S &amp; C"</f>
        <v>2.0% = Est. S &amp; C</v>
      </c>
    </row>
    <row r="38" spans="1:29" hidden="1" x14ac:dyDescent="0.25">
      <c r="A38" s="153"/>
      <c r="B38" s="1326"/>
      <c r="D38" s="2">
        <v>0</v>
      </c>
      <c r="E38" s="1249"/>
      <c r="F38" s="2"/>
      <c r="G38" s="1527" t="str">
        <f t="shared" si="15"/>
        <v>0.00%</v>
      </c>
      <c r="H38" s="2">
        <f t="shared" ref="H38:H41" si="21">ROUND(D38*(1+$I$19),0)</f>
        <v>0</v>
      </c>
      <c r="I38" s="1257" t="str">
        <f t="shared" ref="I38:I41" si="22">TEXT($I$19,"0.0%")&amp;" = Est. S &amp; C"</f>
        <v>0.0% = Est. S &amp; C</v>
      </c>
      <c r="J38" s="66"/>
      <c r="K38" s="1527" t="str">
        <f t="shared" si="16"/>
        <v>0.00%</v>
      </c>
      <c r="L38" s="2">
        <f>ROUND(H38*(1+M19),0)</f>
        <v>0</v>
      </c>
      <c r="M38" s="1257" t="str">
        <f>TEXT(M19,"0.0%")&amp;" = Est. S &amp; C"</f>
        <v>1.5% = Est. S &amp; C</v>
      </c>
      <c r="O38" s="1527" t="str">
        <f t="shared" si="17"/>
        <v>0.00%</v>
      </c>
      <c r="P38" s="2">
        <f>ROUND(L38*(1+Q19),0)</f>
        <v>0</v>
      </c>
      <c r="Q38" s="1257" t="str">
        <f>TEXT(Q19,"0.0%")&amp;" = Est. S &amp; C"</f>
        <v>1.5% = Est. S &amp; C</v>
      </c>
      <c r="S38" s="83" t="str">
        <f t="shared" si="18"/>
        <v>0.00%</v>
      </c>
      <c r="T38" s="2">
        <f>ROUND(P38*(1+U19),0)</f>
        <v>0</v>
      </c>
      <c r="U38" s="36" t="str">
        <f>TEXT(U19,"0.0%")&amp;" = Est. S &amp; C"</f>
        <v>2.0% = Est. S &amp; C</v>
      </c>
      <c r="W38" s="83" t="str">
        <f t="shared" si="19"/>
        <v>0.00%</v>
      </c>
      <c r="X38" s="2">
        <f>ROUND(T38*(1+Y19),0)</f>
        <v>0</v>
      </c>
      <c r="Y38" s="36" t="str">
        <f>TEXT(Y19,"0.0%")&amp;" = Est. S &amp; C"</f>
        <v>2.0% = Est. S &amp; C</v>
      </c>
      <c r="AA38" s="83" t="str">
        <f t="shared" si="20"/>
        <v>0.00%</v>
      </c>
      <c r="AB38" s="2">
        <f>ROUND(X38*(1+AC19),0)</f>
        <v>0</v>
      </c>
      <c r="AC38" s="36" t="str">
        <f>TEXT(AC19,"0.0%")&amp;" = Est. S &amp; C"</f>
        <v>2.0% = Est. S &amp; C</v>
      </c>
    </row>
    <row r="39" spans="1:29" hidden="1" x14ac:dyDescent="0.25">
      <c r="A39" s="153"/>
      <c r="B39" s="1326"/>
      <c r="D39" s="2">
        <v>0</v>
      </c>
      <c r="E39" s="1249"/>
      <c r="F39" s="2"/>
      <c r="G39" s="1527" t="str">
        <f t="shared" si="15"/>
        <v>0.00%</v>
      </c>
      <c r="H39" s="2">
        <f t="shared" si="21"/>
        <v>0</v>
      </c>
      <c r="I39" s="1257" t="str">
        <f t="shared" si="22"/>
        <v>0.0% = Est. S &amp; C</v>
      </c>
      <c r="J39" s="66"/>
      <c r="K39" s="1527" t="str">
        <f t="shared" si="16"/>
        <v>0.00%</v>
      </c>
      <c r="L39" s="2">
        <f>ROUND(H39*(1+M19),0)</f>
        <v>0</v>
      </c>
      <c r="M39" s="1257" t="str">
        <f>TEXT(M19,"0.0%")&amp;" = Est. S &amp; C"</f>
        <v>1.5% = Est. S &amp; C</v>
      </c>
      <c r="O39" s="1527" t="str">
        <f t="shared" si="17"/>
        <v>0.00%</v>
      </c>
      <c r="P39" s="2">
        <f>ROUND(L39*(1+Q19),0)</f>
        <v>0</v>
      </c>
      <c r="Q39" s="1257" t="str">
        <f>TEXT(Q19,"0.0%")&amp;" = Est. S &amp; C"</f>
        <v>1.5% = Est. S &amp; C</v>
      </c>
      <c r="S39" s="83" t="str">
        <f t="shared" si="18"/>
        <v>0.00%</v>
      </c>
      <c r="T39" s="2">
        <f>ROUND(P39*(1+U19),0)</f>
        <v>0</v>
      </c>
      <c r="U39" s="36" t="str">
        <f>TEXT(U19,"0.0%")&amp;" = Est. S &amp; C"</f>
        <v>2.0% = Est. S &amp; C</v>
      </c>
      <c r="W39" s="83" t="str">
        <f t="shared" si="19"/>
        <v>0.00%</v>
      </c>
      <c r="X39" s="2">
        <f>ROUND(T39*(1+Y19),0)</f>
        <v>0</v>
      </c>
      <c r="Y39" s="36" t="str">
        <f>TEXT(Y19,"0.0%")&amp;" = Est. S &amp; C"</f>
        <v>2.0% = Est. S &amp; C</v>
      </c>
      <c r="AA39" s="83" t="str">
        <f t="shared" si="20"/>
        <v>0.00%</v>
      </c>
      <c r="AB39" s="2">
        <f>ROUND(X39*(1+AC19),0)</f>
        <v>0</v>
      </c>
      <c r="AC39" s="36" t="str">
        <f>TEXT(AC19,"0.0%")&amp;" = Est. S &amp; C"</f>
        <v>2.0% = Est. S &amp; C</v>
      </c>
    </row>
    <row r="40" spans="1:29" hidden="1" x14ac:dyDescent="0.25">
      <c r="A40" s="153"/>
      <c r="B40" s="1326"/>
      <c r="D40" s="2">
        <v>0</v>
      </c>
      <c r="E40" s="1249"/>
      <c r="F40" s="2"/>
      <c r="G40" s="1527" t="str">
        <f t="shared" si="15"/>
        <v>0.00%</v>
      </c>
      <c r="H40" s="2">
        <f t="shared" si="21"/>
        <v>0</v>
      </c>
      <c r="I40" s="1257" t="str">
        <f t="shared" si="22"/>
        <v>0.0% = Est. S &amp; C</v>
      </c>
      <c r="J40" s="66"/>
      <c r="K40" s="1527" t="str">
        <f t="shared" si="16"/>
        <v>0.00%</v>
      </c>
      <c r="L40" s="2">
        <f>ROUND(H40*(1+M19),0)</f>
        <v>0</v>
      </c>
      <c r="M40" s="1257" t="str">
        <f>TEXT(M19,"0.0%")&amp;" = Est. S &amp; C"</f>
        <v>1.5% = Est. S &amp; C</v>
      </c>
      <c r="O40" s="1527" t="str">
        <f t="shared" si="17"/>
        <v>0.00%</v>
      </c>
      <c r="P40" s="2">
        <f>ROUND(L40*(1+Q19),0)</f>
        <v>0</v>
      </c>
      <c r="Q40" s="1257" t="str">
        <f>TEXT(Q19,"0.0%")&amp;" = Est. S &amp; C"</f>
        <v>1.5% = Est. S &amp; C</v>
      </c>
      <c r="S40" s="83" t="str">
        <f t="shared" si="18"/>
        <v>0.00%</v>
      </c>
      <c r="T40" s="2">
        <f>ROUND(P40*(1+U19),0)</f>
        <v>0</v>
      </c>
      <c r="U40" s="36" t="str">
        <f>TEXT(U19,"0.0%")&amp;" = Est. S &amp; C"</f>
        <v>2.0% = Est. S &amp; C</v>
      </c>
      <c r="W40" s="83" t="str">
        <f t="shared" si="19"/>
        <v>0.00%</v>
      </c>
      <c r="X40" s="2">
        <f>ROUND(T40*(1+Y19),0)</f>
        <v>0</v>
      </c>
      <c r="Y40" s="36" t="str">
        <f>TEXT(Y19,"0.0%")&amp;" = Est. S &amp; C"</f>
        <v>2.0% = Est. S &amp; C</v>
      </c>
      <c r="AA40" s="83" t="str">
        <f t="shared" si="20"/>
        <v>0.00%</v>
      </c>
      <c r="AB40" s="2">
        <f>ROUND(X40*(1+AC19),0)</f>
        <v>0</v>
      </c>
      <c r="AC40" s="36" t="str">
        <f>TEXT(AC19,"0.0%")&amp;" = Est. S &amp; C"</f>
        <v>2.0% = Est. S &amp; C</v>
      </c>
    </row>
    <row r="41" spans="1:29" hidden="1" x14ac:dyDescent="0.25">
      <c r="A41" s="153"/>
      <c r="B41" s="1326"/>
      <c r="D41" s="2">
        <v>0</v>
      </c>
      <c r="E41" s="1249"/>
      <c r="F41" s="2"/>
      <c r="G41" s="1527" t="str">
        <f t="shared" si="15"/>
        <v>0.00%</v>
      </c>
      <c r="H41" s="2">
        <f t="shared" si="21"/>
        <v>0</v>
      </c>
      <c r="I41" s="1257" t="str">
        <f t="shared" si="22"/>
        <v>0.0% = Est. S &amp; C</v>
      </c>
      <c r="J41" s="66"/>
      <c r="K41" s="1527" t="str">
        <f t="shared" si="16"/>
        <v>0.00%</v>
      </c>
      <c r="L41" s="2">
        <f>ROUND(H41*(1+M19),0)</f>
        <v>0</v>
      </c>
      <c r="M41" s="1257" t="str">
        <f>TEXT(M19,"0.0%")&amp;" = Est. S &amp; C"</f>
        <v>1.5% = Est. S &amp; C</v>
      </c>
      <c r="O41" s="1527" t="str">
        <f t="shared" si="17"/>
        <v>0.00%</v>
      </c>
      <c r="P41" s="2">
        <f>ROUND(L41*(1+Q19),0)</f>
        <v>0</v>
      </c>
      <c r="Q41" s="1257" t="str">
        <f>TEXT(Q19,"0.0%")&amp;" = Est. S &amp; C"</f>
        <v>1.5% = Est. S &amp; C</v>
      </c>
      <c r="S41" s="83" t="str">
        <f t="shared" si="18"/>
        <v>0.00%</v>
      </c>
      <c r="T41" s="2">
        <f>ROUND(P41*(1+U19),0)</f>
        <v>0</v>
      </c>
      <c r="U41" s="36" t="str">
        <f>TEXT(U19,"0.0%")&amp;" = Est. S &amp; C"</f>
        <v>2.0% = Est. S &amp; C</v>
      </c>
      <c r="W41" s="83" t="str">
        <f t="shared" si="19"/>
        <v>0.00%</v>
      </c>
      <c r="X41" s="2">
        <f>ROUND(T41*(1+Y19),0)</f>
        <v>0</v>
      </c>
      <c r="Y41" s="36" t="str">
        <f>TEXT(Y19,"0.0%")&amp;" = Est. S &amp; C"</f>
        <v>2.0% = Est. S &amp; C</v>
      </c>
      <c r="AA41" s="83" t="str">
        <f t="shared" si="20"/>
        <v>0.00%</v>
      </c>
      <c r="AB41" s="2">
        <f>ROUND(X41*(1+AC19),0)</f>
        <v>0</v>
      </c>
      <c r="AC41" s="36" t="str">
        <f>TEXT(AC19,"0.0%")&amp;" = Est. S &amp; C"</f>
        <v>2.0% = Est. S &amp; C</v>
      </c>
    </row>
    <row r="42" spans="1:29" ht="6" customHeight="1" x14ac:dyDescent="0.25">
      <c r="A42" s="153"/>
      <c r="B42" s="1326"/>
      <c r="E42" s="1249"/>
      <c r="F42" s="2"/>
      <c r="H42" s="2"/>
      <c r="I42" s="1257"/>
      <c r="J42" s="66"/>
      <c r="L42" s="2"/>
      <c r="M42" s="1335"/>
      <c r="Q42" s="1335"/>
      <c r="T42" s="2"/>
      <c r="U42" s="73"/>
      <c r="X42" s="2"/>
      <c r="Y42" s="73"/>
      <c r="AB42" s="2"/>
      <c r="AC42" s="73"/>
    </row>
    <row r="43" spans="1:29" x14ac:dyDescent="0.25">
      <c r="A43" s="154"/>
      <c r="B43" s="1326"/>
      <c r="D43" s="8">
        <f>SUM(D35:D42)</f>
        <v>602422</v>
      </c>
      <c r="E43" s="1249"/>
      <c r="F43" s="2"/>
      <c r="G43" s="1527">
        <f>IF(D43=0,"0.00%",(H43-D43)/D43)</f>
        <v>3.690104279060194E-2</v>
      </c>
      <c r="H43" s="8">
        <f>SUM(H35:H42)</f>
        <v>624652</v>
      </c>
      <c r="I43" s="1882">
        <f>+H43-D43</f>
        <v>22230</v>
      </c>
      <c r="J43" s="29"/>
      <c r="K43" s="1527">
        <f>IF(H43=0,"0.00%",(L43-H43)/H43)</f>
        <v>1.500035219610279E-2</v>
      </c>
      <c r="L43" s="8">
        <f>SUM(L35:L42)</f>
        <v>634022</v>
      </c>
      <c r="M43" s="1882">
        <f>+L43-H43</f>
        <v>9370</v>
      </c>
      <c r="O43" s="1527">
        <f>IF(L43=0,"0.00%",(P43-L43)/L43)</f>
        <v>1.4999479513329191E-2</v>
      </c>
      <c r="P43" s="8">
        <f>SUM(P35:P42)</f>
        <v>643532</v>
      </c>
      <c r="Q43" s="1882">
        <f>+P43-L43</f>
        <v>9510</v>
      </c>
      <c r="S43" s="83">
        <f>IF(P43=0,"0.00%",(T43-P43)/P43)</f>
        <v>2.0000559412740936E-2</v>
      </c>
      <c r="T43" s="8">
        <f>SUM(T35:T42)</f>
        <v>656403</v>
      </c>
      <c r="U43" s="73"/>
      <c r="W43" s="83">
        <f>IF(T43=0,"0.00%",(X43-T43)/T43)</f>
        <v>1.9999908592739521E-2</v>
      </c>
      <c r="X43" s="8">
        <f>SUM(X35:X42)</f>
        <v>669531</v>
      </c>
      <c r="Y43" s="73"/>
      <c r="AA43" s="83">
        <f>IF(X43=0,"0.00%",(AB43-X43)/X43)</f>
        <v>2.0000567561472136E-2</v>
      </c>
      <c r="AB43" s="8">
        <f>SUM(AB35:AB42)</f>
        <v>682922</v>
      </c>
      <c r="AC43" s="73"/>
    </row>
    <row r="44" spans="1:29" x14ac:dyDescent="0.25">
      <c r="A44" s="153"/>
      <c r="B44" s="1317" t="s">
        <v>28</v>
      </c>
      <c r="E44" s="1249"/>
      <c r="F44" s="2"/>
      <c r="H44" s="2"/>
      <c r="I44" s="1257"/>
      <c r="J44" s="66"/>
      <c r="L44" s="2"/>
      <c r="M44" s="1335"/>
      <c r="Q44" s="1335"/>
      <c r="T44" s="2"/>
      <c r="U44" s="73"/>
      <c r="X44" s="2"/>
      <c r="Y44" s="73"/>
      <c r="AB44" s="2"/>
      <c r="AC44" s="73"/>
    </row>
    <row r="45" spans="1:29" x14ac:dyDescent="0.25">
      <c r="A45" s="155"/>
      <c r="B45" s="1323" t="s">
        <v>27</v>
      </c>
      <c r="E45" s="1249"/>
      <c r="F45" s="2"/>
      <c r="H45" s="2"/>
      <c r="I45" s="1257"/>
      <c r="J45" s="66"/>
      <c r="L45" s="2"/>
      <c r="M45" s="1335"/>
      <c r="Q45" s="1335"/>
      <c r="T45" s="2"/>
      <c r="U45" s="73"/>
      <c r="X45" s="2"/>
      <c r="Y45" s="73"/>
      <c r="AB45" s="2"/>
      <c r="AC45" s="73"/>
    </row>
    <row r="46" spans="1:29" x14ac:dyDescent="0.25">
      <c r="A46" s="153"/>
      <c r="B46" s="1326" t="s">
        <v>83</v>
      </c>
      <c r="C46" s="1243" t="s">
        <v>76</v>
      </c>
      <c r="D46" s="2">
        <v>0</v>
      </c>
      <c r="E46" s="1240" t="str">
        <f>TEXT('MYP Assumptions'!$D$52,"0.00%")&amp;", STRS rate"</f>
        <v>12.58%, STRS rate</v>
      </c>
      <c r="F46" s="2"/>
      <c r="G46" s="1527" t="str">
        <f t="shared" ref="G46:G55" si="23">IF(D46=0,"0.00%",(H46-D46)/D46)</f>
        <v>0.00%</v>
      </c>
      <c r="H46" s="2">
        <f>ROUND(H32*LEFT(I46,6),0)</f>
        <v>0</v>
      </c>
      <c r="I46" s="1240" t="str">
        <f>TEXT('MYP Assumptions'!E52,"0.00%")&amp;", projected STRS rate"</f>
        <v>14.43%, projected STRS rate</v>
      </c>
      <c r="J46" s="66"/>
      <c r="K46" s="1527" t="str">
        <f t="shared" ref="K46:K55" si="24">IF(H46=0,"0.00%",(L46-H46)/H46)</f>
        <v>0.00%</v>
      </c>
      <c r="L46" s="2">
        <f>ROUND(L32*LEFT(M46,6),0)</f>
        <v>0</v>
      </c>
      <c r="M46" s="1240" t="str">
        <f>TEXT('MYP Assumptions'!F52,"0.00%")&amp;", projected STRS rate"</f>
        <v>16.28%, projected STRS rate</v>
      </c>
      <c r="O46" s="1527" t="str">
        <f t="shared" ref="O46:O55" si="25">IF(L46=0,"0.00%",(P46-L46)/L46)</f>
        <v>0.00%</v>
      </c>
      <c r="P46" s="2">
        <f>ROUND(P32*LEFT(Q46,6),0)</f>
        <v>0</v>
      </c>
      <c r="Q46" s="1240" t="str">
        <f>TEXT('MYP Assumptions'!G52,"0.00%")&amp;", projected STRS rate"</f>
        <v>18.13%, projected STRS rate</v>
      </c>
      <c r="S46" s="83" t="str">
        <f t="shared" ref="S46:S55" si="26">IF(P46=0,"0.00%",(T46-P46)/P46)</f>
        <v>0.00%</v>
      </c>
      <c r="T46" s="2">
        <f>ROUND(T32*LEFT(U46,6),0)</f>
        <v>0</v>
      </c>
      <c r="U46" s="81" t="str">
        <f>TEXT('MYP Assumptions'!H52,"0.00%")&amp;", projected STRS rate"</f>
        <v>19.10%, projected STRS rate</v>
      </c>
      <c r="W46" s="83" t="str">
        <f t="shared" ref="W46:W55" si="27">IF(T46=0,"0.00%",(X46-T46)/T46)</f>
        <v>0.00%</v>
      </c>
      <c r="X46" s="2">
        <f>ROUND(X32*LEFT(Y46,6),0)</f>
        <v>0</v>
      </c>
      <c r="Y46" s="81" t="str">
        <f>TEXT('MYP Assumptions'!I52,"0.00%")&amp;", projected STRS rate"</f>
        <v>19.10%, projected STRS rate</v>
      </c>
      <c r="AA46" s="83" t="str">
        <f t="shared" ref="AA46:AA55" si="28">IF(X46=0,"0.00%",(AB46-X46)/X46)</f>
        <v>0.00%</v>
      </c>
      <c r="AB46" s="2">
        <f>ROUND(AB32*LEFT(AC46,6),0)</f>
        <v>0</v>
      </c>
      <c r="AC46" s="81" t="str">
        <f>TEXT('MYP Assumptions'!J52,"0.00%")&amp;", projected STRS rate"</f>
        <v>19.10%, projected STRS rate</v>
      </c>
    </row>
    <row r="47" spans="1:29" x14ac:dyDescent="0.25">
      <c r="A47" s="153"/>
      <c r="B47" s="1326" t="s">
        <v>84</v>
      </c>
      <c r="C47" s="1243" t="s">
        <v>77</v>
      </c>
      <c r="D47" s="2">
        <v>80177</v>
      </c>
      <c r="E47" s="1240" t="str">
        <f>TEXT('MYP Assumptions'!$D$53,"0.00%")&amp;", PERS rate"</f>
        <v>13.89%, PERS rate</v>
      </c>
      <c r="F47" s="2"/>
      <c r="G47" s="1527">
        <f t="shared" si="23"/>
        <v>0.21001035209598762</v>
      </c>
      <c r="H47" s="2">
        <v>97015</v>
      </c>
      <c r="I47" s="1240" t="str">
        <f>TEXT('MYP Assumptions'!E53,"0.00%")&amp;", projected PERS rate"</f>
        <v>15.53%, projected PERS rate</v>
      </c>
      <c r="J47" s="66"/>
      <c r="K47" s="1527">
        <f t="shared" si="24"/>
        <v>0.18288924393135081</v>
      </c>
      <c r="L47" s="2">
        <f>ROUND(L43*LEFT(M47,6),0)</f>
        <v>114758</v>
      </c>
      <c r="M47" s="1240" t="str">
        <f>TEXT('MYP Assumptions'!F53,"0.00%")&amp;", projected PERS rate"</f>
        <v>18.10%, projected PERS rate</v>
      </c>
      <c r="O47" s="1527">
        <f t="shared" si="25"/>
        <v>0.16641105630979974</v>
      </c>
      <c r="P47" s="2">
        <f>ROUND(P43*LEFT(Q47,6),0)</f>
        <v>133855</v>
      </c>
      <c r="Q47" s="1240" t="str">
        <f>TEXT('MYP Assumptions'!G53,"0.00%")&amp;", projected PERS rate"</f>
        <v>20.80%, projected PERS rate</v>
      </c>
      <c r="S47" s="83">
        <f t="shared" si="26"/>
        <v>0.16711366777483097</v>
      </c>
      <c r="T47" s="2">
        <f>ROUND(T43*LEFT(U47,6),0)</f>
        <v>156224</v>
      </c>
      <c r="U47" s="81" t="str">
        <f>TEXT('MYP Assumptions'!H53,"0.00%")&amp;", projected PERS rate"</f>
        <v>23.80%, projected PERS rate</v>
      </c>
      <c r="W47" s="83">
        <f t="shared" si="27"/>
        <v>8.0000512085210973E-2</v>
      </c>
      <c r="X47" s="2">
        <f>ROUND(X43*LEFT(Y47,6),0)</f>
        <v>168722</v>
      </c>
      <c r="Y47" s="81" t="str">
        <f>TEXT('MYP Assumptions'!I53,"0.00%")&amp;", projected PERS rate"</f>
        <v>25.20%, projected PERS rate</v>
      </c>
      <c r="AA47" s="83">
        <f t="shared" si="28"/>
        <v>5.6430103957990065E-2</v>
      </c>
      <c r="AB47" s="2">
        <f>ROUND(AB43*LEFT(AC47,6),0)</f>
        <v>178243</v>
      </c>
      <c r="AC47" s="81" t="str">
        <f>TEXT('MYP Assumptions'!J53,"0.00%")&amp;", projected PERS rate"</f>
        <v>26.10%, projected PERS rate</v>
      </c>
    </row>
    <row r="48" spans="1:29" x14ac:dyDescent="0.25">
      <c r="A48" s="153"/>
      <c r="B48" s="1326" t="s">
        <v>85</v>
      </c>
      <c r="C48" s="1243" t="s">
        <v>78</v>
      </c>
      <c r="D48" s="2">
        <v>36210</v>
      </c>
      <c r="E48" s="1240" t="str">
        <f>TEXT('MYP Assumptions'!$D$54,"0.00%")&amp;", SS rate"</f>
        <v>6.20%, SS rate</v>
      </c>
      <c r="F48" s="2"/>
      <c r="G48" s="1527">
        <f t="shared" si="23"/>
        <v>7.2990886495443247E-2</v>
      </c>
      <c r="H48" s="2">
        <v>38853</v>
      </c>
      <c r="I48" s="1240" t="str">
        <f>TEXT('MYP Assumptions'!E54,"0.00%")&amp;", no rate change"</f>
        <v>6.20%, no rate change</v>
      </c>
      <c r="J48" s="66"/>
      <c r="K48" s="1527">
        <f t="shared" si="24"/>
        <v>1.1736545440506525E-2</v>
      </c>
      <c r="L48" s="2">
        <f>ROUND(L43*LEFT(M48,5),0)</f>
        <v>39309</v>
      </c>
      <c r="M48" s="1240" t="str">
        <f>TEXT('MYP Assumptions'!F54,"0.00%")&amp;", no rate change"</f>
        <v>6.20%, no rate change</v>
      </c>
      <c r="O48" s="1527">
        <f t="shared" si="25"/>
        <v>1.5009285405377904E-2</v>
      </c>
      <c r="P48" s="2">
        <f>ROUND(P43*LEFT(Q48,5),0)</f>
        <v>39899</v>
      </c>
      <c r="Q48" s="1240" t="str">
        <f>TEXT('MYP Assumptions'!G54,"0.00%")&amp;", no rate change"</f>
        <v>6.20%, no rate change</v>
      </c>
      <c r="S48" s="83">
        <f t="shared" si="26"/>
        <v>2.0000501265695882E-2</v>
      </c>
      <c r="T48" s="2">
        <f>ROUND(T43*LEFT(U48,5),0)</f>
        <v>40697</v>
      </c>
      <c r="U48" s="81" t="str">
        <f>TEXT('MYP Assumptions'!H54,"0.00%")&amp;", no rate change"</f>
        <v>6.20%, no rate change</v>
      </c>
      <c r="W48" s="83">
        <f t="shared" si="27"/>
        <v>2.0001474310145709E-2</v>
      </c>
      <c r="X48" s="2">
        <f>ROUND(X43*LEFT(Y48,5),0)</f>
        <v>41511</v>
      </c>
      <c r="Y48" s="81" t="str">
        <f>TEXT('MYP Assumptions'!I54,"0.00%")&amp;", no rate change"</f>
        <v>6.20%, no rate change</v>
      </c>
      <c r="AA48" s="83">
        <f t="shared" si="28"/>
        <v>1.9994700199947001E-2</v>
      </c>
      <c r="AB48" s="2">
        <f>ROUND(AB43*LEFT(AC48,5),0)</f>
        <v>42341</v>
      </c>
      <c r="AC48" s="81" t="str">
        <f>TEXT('MYP Assumptions'!J54,"0.00%")&amp;", no rate change"</f>
        <v>6.20%, no rate change</v>
      </c>
    </row>
    <row r="49" spans="1:29" x14ac:dyDescent="0.25">
      <c r="A49" s="153"/>
      <c r="B49" s="1326" t="s">
        <v>86</v>
      </c>
      <c r="C49" s="1243" t="s">
        <v>79</v>
      </c>
      <c r="D49" s="2">
        <v>8472</v>
      </c>
      <c r="E49" s="1240" t="str">
        <f>TEXT('MYP Assumptions'!$D$55,"0.00%")&amp;", Medicare rate"</f>
        <v>1.45%, Medicare rate</v>
      </c>
      <c r="F49" s="2"/>
      <c r="G49" s="1527">
        <f t="shared" si="23"/>
        <v>7.2474032105760144E-2</v>
      </c>
      <c r="H49" s="2">
        <v>9086</v>
      </c>
      <c r="I49" s="1240" t="str">
        <f>TEXT('MYP Assumptions'!E55,"0.00%")&amp;", no rate change"</f>
        <v>1.45%, no rate change</v>
      </c>
      <c r="J49" s="66"/>
      <c r="K49" s="1527">
        <f t="shared" si="24"/>
        <v>1.1776359233986353E-2</v>
      </c>
      <c r="L49" s="2">
        <f>ROUND((L43+L32)*LEFT(M49,5),0)</f>
        <v>9193</v>
      </c>
      <c r="M49" s="1240" t="str">
        <f>TEXT('MYP Assumptions'!F55,"0.00%")&amp;", no rate change"</f>
        <v>1.45%, no rate change</v>
      </c>
      <c r="O49" s="1527">
        <f t="shared" si="25"/>
        <v>1.5011421733927988E-2</v>
      </c>
      <c r="P49" s="2">
        <f>ROUND((P43+P32)*LEFT(Q49,5),0)</f>
        <v>9331</v>
      </c>
      <c r="Q49" s="1240" t="str">
        <f>TEXT('MYP Assumptions'!G55,"0.00%")&amp;", no rate change"</f>
        <v>1.45%, no rate change</v>
      </c>
      <c r="S49" s="83">
        <f t="shared" si="26"/>
        <v>2.0040724466830993E-2</v>
      </c>
      <c r="T49" s="2">
        <f>ROUND((T43+T32)*LEFT(U49,5),0)</f>
        <v>9518</v>
      </c>
      <c r="U49" s="81" t="str">
        <f>TEXT('MYP Assumptions'!H55,"0.00%")&amp;", no rate change"</f>
        <v>1.45%, no rate change</v>
      </c>
      <c r="W49" s="83">
        <f t="shared" si="27"/>
        <v>1.9962176927926036E-2</v>
      </c>
      <c r="X49" s="2">
        <f>ROUND((X43+X32)*LEFT(Y49,5),0)</f>
        <v>9708</v>
      </c>
      <c r="Y49" s="81" t="str">
        <f>TEXT('MYP Assumptions'!I55,"0.00%")&amp;", no rate change"</f>
        <v>1.45%, no rate change</v>
      </c>
      <c r="AA49" s="83">
        <f t="shared" si="28"/>
        <v>1.9983518747424805E-2</v>
      </c>
      <c r="AB49" s="2">
        <f>ROUND((AB43+AB32)*LEFT(AC49,5),0)</f>
        <v>9902</v>
      </c>
      <c r="AC49" s="81" t="str">
        <f>TEXT('MYP Assumptions'!J55,"0.00%")&amp;", no rate change"</f>
        <v>1.45%, no rate change</v>
      </c>
    </row>
    <row r="50" spans="1:29" x14ac:dyDescent="0.25">
      <c r="A50" s="153"/>
      <c r="B50" s="1326" t="s">
        <v>87</v>
      </c>
      <c r="C50" s="1243" t="s">
        <v>80</v>
      </c>
      <c r="D50" s="2">
        <v>60792</v>
      </c>
      <c r="E50" s="1240"/>
      <c r="F50" s="2"/>
      <c r="G50" s="1527">
        <f t="shared" si="23"/>
        <v>1.1909461771285695E-2</v>
      </c>
      <c r="H50" s="2">
        <v>61516</v>
      </c>
      <c r="I50" s="1240" t="str">
        <f>TEXT('MYP Assumptions'!$M$62,"0.00%")&amp;", projected increase"</f>
        <v>7.00%, projected increase</v>
      </c>
      <c r="J50" s="66"/>
      <c r="K50" s="1527">
        <f t="shared" si="24"/>
        <v>6.9998049287990111E-2</v>
      </c>
      <c r="L50" s="2">
        <f>ROUND((H50)*(LEFT(M50,5)+1),0)</f>
        <v>65822</v>
      </c>
      <c r="M50" s="1240" t="str">
        <f>TEXT('MYP Assumptions'!$M$62,"0.00%")&amp;", projected increase"</f>
        <v>7.00%, projected increase</v>
      </c>
      <c r="O50" s="1527">
        <f t="shared" si="25"/>
        <v>7.0006988544863424E-2</v>
      </c>
      <c r="P50" s="2">
        <f>ROUND((L50)*(LEFT(Q50,5)+1),0)</f>
        <v>70430</v>
      </c>
      <c r="Q50" s="1240" t="str">
        <f>TEXT('MYP Assumptions'!$M$62,"0.00%")&amp;", projected increase"</f>
        <v>7.00%, projected increase</v>
      </c>
      <c r="S50" s="83">
        <f t="shared" si="26"/>
        <v>6.9998580150504044E-2</v>
      </c>
      <c r="T50" s="2">
        <f>ROUND((P50)*(LEFT(U50,5)+1),0)</f>
        <v>75360</v>
      </c>
      <c r="U50" s="81" t="str">
        <f>TEXT('MYP Assumptions'!$M$62,"0.00%")&amp;", projected increase"</f>
        <v>7.00%, projected increase</v>
      </c>
      <c r="W50" s="83">
        <f t="shared" si="27"/>
        <v>6.9997346072186842E-2</v>
      </c>
      <c r="X50" s="2">
        <f>ROUND((T50)*(LEFT(Y50,5)+1),0)</f>
        <v>80635</v>
      </c>
      <c r="Y50" s="81" t="str">
        <f>TEXT('MYP Assumptions'!$M$62,"0.00%")&amp;", projected increase"</f>
        <v>7.00%, projected increase</v>
      </c>
      <c r="AA50" s="83">
        <f t="shared" si="28"/>
        <v>6.9994419296831395E-2</v>
      </c>
      <c r="AB50" s="2">
        <f>ROUND((X50)*(LEFT(AC50,5)+1),0)</f>
        <v>86279</v>
      </c>
      <c r="AC50" s="81" t="str">
        <f>TEXT('MYP Assumptions'!$M$62,"0.00%")&amp;", projected increase"</f>
        <v>7.00%, projected increase</v>
      </c>
    </row>
    <row r="51" spans="1:29" x14ac:dyDescent="0.25">
      <c r="A51" s="153"/>
      <c r="B51" s="1326" t="s">
        <v>88</v>
      </c>
      <c r="C51" s="1243" t="s">
        <v>81</v>
      </c>
      <c r="D51" s="2">
        <v>286</v>
      </c>
      <c r="E51" s="1240" t="str">
        <f>TEXT('MYP Assumptions'!$D$56,"0.00%")&amp;", SUI rate"</f>
        <v>0.05%, SUI rate</v>
      </c>
      <c r="F51" s="2"/>
      <c r="G51" s="1527">
        <f t="shared" si="23"/>
        <v>9.4405594405594401E-2</v>
      </c>
      <c r="H51" s="2">
        <v>313</v>
      </c>
      <c r="I51" s="1240" t="str">
        <f>TEXT('MYP Assumptions'!E56,"0.00%")&amp;", no rate change"</f>
        <v>0.05%, no rate change</v>
      </c>
      <c r="J51" s="66"/>
      <c r="K51" s="1527">
        <f t="shared" si="24"/>
        <v>1.2779552715654952E-2</v>
      </c>
      <c r="L51" s="2">
        <f>ROUND((L43+L32)*LEFT(M51,5),0)</f>
        <v>317</v>
      </c>
      <c r="M51" s="1240" t="str">
        <f>TEXT('MYP Assumptions'!F56,"0.00%")&amp;", no rate change"</f>
        <v>0.05%, no rate change</v>
      </c>
      <c r="O51" s="1527">
        <f t="shared" si="25"/>
        <v>1.5772870662460567E-2</v>
      </c>
      <c r="P51" s="2">
        <f>ROUND((P43+P32)*LEFT(Q51,5),0)</f>
        <v>322</v>
      </c>
      <c r="Q51" s="1240" t="str">
        <f>TEXT('MYP Assumptions'!G56,"0.00%")&amp;", no rate change"</f>
        <v>0.05%, no rate change</v>
      </c>
      <c r="S51" s="83">
        <f t="shared" si="26"/>
        <v>1.8633540372670808E-2</v>
      </c>
      <c r="T51" s="2">
        <f>ROUND((T43+T32)*LEFT(U51,5),0)</f>
        <v>328</v>
      </c>
      <c r="U51" s="81" t="str">
        <f>TEXT('MYP Assumptions'!H56,"0.00%")&amp;", no rate change"</f>
        <v>0.05%, no rate change</v>
      </c>
      <c r="W51" s="83">
        <f t="shared" si="27"/>
        <v>2.1341463414634148E-2</v>
      </c>
      <c r="X51" s="2">
        <f>ROUND((X43+X32)*LEFT(Y51,5),0)</f>
        <v>335</v>
      </c>
      <c r="Y51" s="81" t="str">
        <f>TEXT('MYP Assumptions'!I56,"0.00%")&amp;", no rate change"</f>
        <v>0.05%, no rate change</v>
      </c>
      <c r="AA51" s="83">
        <f t="shared" si="28"/>
        <v>1.7910447761194031E-2</v>
      </c>
      <c r="AB51" s="2">
        <f>ROUND((AB43+AB32)*LEFT(AC51,5),0)</f>
        <v>341</v>
      </c>
      <c r="AC51" s="81" t="str">
        <f>TEXT('MYP Assumptions'!J56,"0.00%")&amp;", no rate change"</f>
        <v>0.05%, no rate change</v>
      </c>
    </row>
    <row r="52" spans="1:29" x14ac:dyDescent="0.25">
      <c r="A52" s="153"/>
      <c r="B52" s="1326" t="s">
        <v>89</v>
      </c>
      <c r="C52" s="1243" t="s">
        <v>82</v>
      </c>
      <c r="D52" s="2">
        <v>6557</v>
      </c>
      <c r="E52" s="1240" t="str">
        <f>TEXT('MYP Assumptions'!$D$57,"0.00%")&amp;", W/C rate"</f>
        <v>1.10%, W/C rate</v>
      </c>
      <c r="F52" s="2"/>
      <c r="G52" s="1527">
        <f t="shared" si="23"/>
        <v>5.1395455238676224E-2</v>
      </c>
      <c r="H52" s="2">
        <v>6894</v>
      </c>
      <c r="I52" s="1240" t="str">
        <f>TEXT('MYP Assumptions'!E57,"0.00%")&amp;", no rate change"</f>
        <v>1.10%, no rate change</v>
      </c>
      <c r="J52" s="66"/>
      <c r="K52" s="1527">
        <f t="shared" si="24"/>
        <v>1.1604293588627792E-2</v>
      </c>
      <c r="L52" s="2">
        <f>ROUND((L43+L32)*LEFT(M52,5),0)</f>
        <v>6974</v>
      </c>
      <c r="M52" s="1240" t="str">
        <f>TEXT('MYP Assumptions'!F57,"0.00%")&amp;", no rate change"</f>
        <v>1.10%, no rate change</v>
      </c>
      <c r="O52" s="1527">
        <f t="shared" si="25"/>
        <v>1.5055921995985088E-2</v>
      </c>
      <c r="P52" s="2">
        <f>ROUND((P43+P32)*LEFT(Q52,5),0)</f>
        <v>7079</v>
      </c>
      <c r="Q52" s="1240" t="str">
        <f>TEXT('MYP Assumptions'!G57,"0.00%")&amp;", no rate change"</f>
        <v>1.10%, no rate change</v>
      </c>
      <c r="S52" s="83">
        <f t="shared" si="26"/>
        <v>1.9918067523661535E-2</v>
      </c>
      <c r="T52" s="2">
        <f>ROUND((T43+T32)*LEFT(U52,5),0)</f>
        <v>7220</v>
      </c>
      <c r="U52" s="81" t="str">
        <f>TEXT('MYP Assumptions'!H57,"0.00%")&amp;", no rate change"</f>
        <v>1.10%, no rate change</v>
      </c>
      <c r="W52" s="83">
        <f t="shared" si="27"/>
        <v>2.0083102493074791E-2</v>
      </c>
      <c r="X52" s="2">
        <f>ROUND((X43+X32)*LEFT(Y52,5),0)</f>
        <v>7365</v>
      </c>
      <c r="Y52" s="81" t="str">
        <f>TEXT('MYP Assumptions'!I57,"0.00%")&amp;", no rate change"</f>
        <v>1.10%, no rate change</v>
      </c>
      <c r="AA52" s="83">
        <f t="shared" si="28"/>
        <v>1.9959266802443993E-2</v>
      </c>
      <c r="AB52" s="2">
        <f>ROUND((AB43+AB32)*LEFT(AC52,5),0)</f>
        <v>7512</v>
      </c>
      <c r="AC52" s="81" t="str">
        <f>TEXT('MYP Assumptions'!J57,"0.00%")&amp;", no rate change"</f>
        <v>1.10%, no rate change</v>
      </c>
    </row>
    <row r="53" spans="1:29" x14ac:dyDescent="0.25">
      <c r="A53" s="153"/>
      <c r="B53" s="1326" t="s">
        <v>91</v>
      </c>
      <c r="C53" s="1243" t="s">
        <v>93</v>
      </c>
      <c r="D53" s="2">
        <f>1500+480</f>
        <v>1980</v>
      </c>
      <c r="E53" s="1249"/>
      <c r="F53" s="2"/>
      <c r="G53" s="1527">
        <f t="shared" si="23"/>
        <v>0</v>
      </c>
      <c r="H53" s="2">
        <f>1500+480</f>
        <v>1980</v>
      </c>
      <c r="I53" s="1240" t="s">
        <v>166</v>
      </c>
      <c r="J53" s="66"/>
      <c r="K53" s="1527">
        <f t="shared" si="24"/>
        <v>0</v>
      </c>
      <c r="L53" s="2">
        <f>H53</f>
        <v>1980</v>
      </c>
      <c r="M53" s="1240" t="s">
        <v>166</v>
      </c>
      <c r="O53" s="1527">
        <f t="shared" si="25"/>
        <v>0</v>
      </c>
      <c r="P53" s="2">
        <f>L53</f>
        <v>1980</v>
      </c>
      <c r="Q53" s="1240" t="s">
        <v>166</v>
      </c>
      <c r="S53" s="83">
        <f t="shared" si="26"/>
        <v>0</v>
      </c>
      <c r="T53" s="2">
        <f>P53</f>
        <v>1980</v>
      </c>
      <c r="U53" s="81" t="s">
        <v>166</v>
      </c>
      <c r="W53" s="83">
        <f t="shared" si="27"/>
        <v>0</v>
      </c>
      <c r="X53" s="2">
        <f>T53</f>
        <v>1980</v>
      </c>
      <c r="Y53" s="81" t="s">
        <v>166</v>
      </c>
      <c r="AA53" s="83">
        <f t="shared" si="28"/>
        <v>0</v>
      </c>
      <c r="AB53" s="2">
        <f>X53</f>
        <v>1980</v>
      </c>
      <c r="AC53" s="81" t="s">
        <v>166</v>
      </c>
    </row>
    <row r="54" spans="1:29" hidden="1" x14ac:dyDescent="0.25">
      <c r="A54" s="153"/>
      <c r="B54" s="1326"/>
      <c r="E54" s="1249"/>
      <c r="F54" s="2"/>
      <c r="G54" s="1527"/>
      <c r="H54" s="2"/>
      <c r="I54" s="1240"/>
      <c r="J54" s="66"/>
      <c r="K54" s="1527"/>
      <c r="L54" s="2"/>
      <c r="M54" s="1240"/>
      <c r="O54" s="1527"/>
      <c r="Q54" s="1240"/>
      <c r="S54" s="83"/>
      <c r="T54" s="2"/>
      <c r="U54" s="81"/>
      <c r="W54" s="83"/>
      <c r="X54" s="2"/>
      <c r="Y54" s="81"/>
      <c r="AA54" s="83"/>
      <c r="AB54" s="2"/>
      <c r="AC54" s="81"/>
    </row>
    <row r="55" spans="1:29" x14ac:dyDescent="0.25">
      <c r="A55" s="154"/>
      <c r="B55" s="1326"/>
      <c r="D55" s="8">
        <f>SUM(D46:D54)</f>
        <v>194474</v>
      </c>
      <c r="E55" s="1249"/>
      <c r="F55" s="2"/>
      <c r="G55" s="1527">
        <f t="shared" si="23"/>
        <v>0.10892458632002221</v>
      </c>
      <c r="H55" s="8">
        <f>SUM(H46:H54)</f>
        <v>215657</v>
      </c>
      <c r="I55" s="1882">
        <f>+H55-D55</f>
        <v>21183</v>
      </c>
      <c r="J55" s="29"/>
      <c r="K55" s="1527">
        <f t="shared" si="24"/>
        <v>0.10524119319103947</v>
      </c>
      <c r="L55" s="8">
        <f>SUM(L46:L54)</f>
        <v>238353</v>
      </c>
      <c r="M55" s="1882">
        <f>+L55-H55</f>
        <v>22696</v>
      </c>
      <c r="O55" s="1527">
        <f t="shared" si="25"/>
        <v>0.10296912562459881</v>
      </c>
      <c r="P55" s="8">
        <f>SUM(P46:P54)</f>
        <v>262896</v>
      </c>
      <c r="Q55" s="1882">
        <f>+P55-L55</f>
        <v>24543</v>
      </c>
      <c r="S55" s="83">
        <f t="shared" si="26"/>
        <v>0.1081454263282819</v>
      </c>
      <c r="T55" s="8">
        <f>SUM(T46:T54)</f>
        <v>291327</v>
      </c>
      <c r="U55" s="73"/>
      <c r="W55" s="83">
        <f t="shared" si="27"/>
        <v>6.4975096712628758E-2</v>
      </c>
      <c r="X55" s="8">
        <f>SUM(X46:X54)</f>
        <v>310256</v>
      </c>
      <c r="Y55" s="73"/>
      <c r="AA55" s="83">
        <f t="shared" si="28"/>
        <v>5.2672631633231909E-2</v>
      </c>
      <c r="AB55" s="8">
        <f>SUM(AB46:AB54)</f>
        <v>326598</v>
      </c>
      <c r="AC55" s="73"/>
    </row>
    <row r="56" spans="1:29" x14ac:dyDescent="0.25">
      <c r="A56" s="155"/>
      <c r="B56" s="1326"/>
      <c r="E56" s="1249"/>
      <c r="F56" s="2"/>
      <c r="H56" s="2"/>
      <c r="I56" s="1257"/>
      <c r="J56" s="66"/>
      <c r="L56" s="2"/>
      <c r="M56" s="1335"/>
      <c r="Q56" s="1335"/>
      <c r="T56" s="2"/>
      <c r="U56" s="73"/>
      <c r="X56" s="2"/>
      <c r="Y56" s="73"/>
      <c r="AB56" s="2"/>
      <c r="AC56" s="73"/>
    </row>
    <row r="57" spans="1:29" x14ac:dyDescent="0.25">
      <c r="A57" s="154"/>
      <c r="B57" s="1323" t="s">
        <v>26</v>
      </c>
      <c r="D57" s="8">
        <f>SUM(D55,D43,D32)</f>
        <v>796896</v>
      </c>
      <c r="E57" s="1249"/>
      <c r="F57" s="2"/>
      <c r="G57" s="1527">
        <f>IF(D57=0,"0.00%",(H57-D57)/D57)</f>
        <v>5.4477623177930368E-2</v>
      </c>
      <c r="H57" s="8">
        <f>SUM(H55,H43,H32)</f>
        <v>840309</v>
      </c>
      <c r="I57" s="1882">
        <f>+H57-D57</f>
        <v>43413</v>
      </c>
      <c r="J57" s="29"/>
      <c r="K57" s="1527">
        <f>IF(H57=0,"0.00%",(L57-H57)/H57)</f>
        <v>3.8159772179043663E-2</v>
      </c>
      <c r="L57" s="8">
        <f>SUM(L55,L43,L32)</f>
        <v>872375</v>
      </c>
      <c r="M57" s="1882">
        <f>+L57-H57</f>
        <v>32066</v>
      </c>
      <c r="O57" s="1527">
        <f>IF(L57=0,"0.00%",(P57-L57)/L57)</f>
        <v>3.9034818741940105E-2</v>
      </c>
      <c r="P57" s="8">
        <f>SUM(P55,P43,P32)</f>
        <v>906428</v>
      </c>
      <c r="Q57" s="1882">
        <f>+P57-L57</f>
        <v>34053</v>
      </c>
      <c r="S57" s="83">
        <f>IF(P57=0,"0.00%",(T57-P57)/P57)</f>
        <v>4.556567096338595E-2</v>
      </c>
      <c r="T57" s="8">
        <f>SUM(T55,T43,T32)</f>
        <v>947730</v>
      </c>
      <c r="U57" s="73"/>
      <c r="W57" s="83">
        <f>IF(T57=0,"0.00%",(X57-T57)/T57)</f>
        <v>3.3825034556255476E-2</v>
      </c>
      <c r="X57" s="8">
        <f>SUM(X55,X43,X32)</f>
        <v>979787</v>
      </c>
      <c r="Y57" s="73"/>
      <c r="AA57" s="83">
        <f>IF(X57=0,"0.00%",(AB57-X57)/X57)</f>
        <v>3.0346391613687466E-2</v>
      </c>
      <c r="AB57" s="8">
        <f>SUM(AB55,AB43,AB32)</f>
        <v>1009520</v>
      </c>
      <c r="AC57" s="73"/>
    </row>
    <row r="58" spans="1:29" x14ac:dyDescent="0.25">
      <c r="A58" s="156"/>
      <c r="E58" s="1249"/>
      <c r="F58" s="2"/>
      <c r="H58" s="2"/>
      <c r="I58" s="1257"/>
      <c r="J58" s="66"/>
      <c r="L58" s="2"/>
      <c r="M58" s="1335"/>
      <c r="Q58" s="1335"/>
      <c r="T58" s="2"/>
      <c r="U58" s="73"/>
      <c r="X58" s="2"/>
      <c r="Y58" s="73"/>
      <c r="AB58" s="2"/>
      <c r="AC58" s="73"/>
    </row>
    <row r="59" spans="1:29" x14ac:dyDescent="0.25">
      <c r="A59" s="153"/>
      <c r="E59" s="1249"/>
      <c r="F59" s="2"/>
      <c r="H59" s="2"/>
      <c r="I59" s="1257"/>
      <c r="J59" s="66"/>
      <c r="L59" s="2"/>
      <c r="M59" s="1335"/>
      <c r="Q59" s="1335"/>
      <c r="T59" s="2"/>
      <c r="U59" s="73"/>
      <c r="X59" s="2"/>
      <c r="Y59" s="73"/>
      <c r="AB59" s="2"/>
      <c r="AC59" s="73"/>
    </row>
    <row r="60" spans="1:29" x14ac:dyDescent="0.25">
      <c r="A60" s="156"/>
      <c r="B60" s="1327" t="s">
        <v>25</v>
      </c>
      <c r="C60" s="1259"/>
      <c r="E60" s="1249"/>
      <c r="F60" s="2"/>
      <c r="H60" s="616"/>
      <c r="I60" s="1257"/>
      <c r="J60" s="66"/>
      <c r="L60" s="616"/>
      <c r="M60" s="1257"/>
      <c r="P60" s="616"/>
      <c r="Q60" s="1257"/>
      <c r="T60" s="2"/>
      <c r="U60" s="73"/>
      <c r="X60" s="2"/>
      <c r="Y60" s="73"/>
      <c r="AB60" s="2"/>
      <c r="AC60" s="73"/>
    </row>
    <row r="61" spans="1:29" x14ac:dyDescent="0.25">
      <c r="A61" s="153"/>
      <c r="B61" s="1326">
        <v>4349</v>
      </c>
      <c r="C61" s="1243" t="s">
        <v>327</v>
      </c>
      <c r="D61" s="2">
        <v>44000</v>
      </c>
      <c r="E61" s="1249"/>
      <c r="F61" s="2"/>
      <c r="G61" s="1527">
        <f t="shared" ref="G61:G71" si="29">IF(D61=0,"0.00%",(H61-D61)/D61)</f>
        <v>0</v>
      </c>
      <c r="H61" s="2">
        <f>+D61*(1-$H$60)</f>
        <v>44000</v>
      </c>
      <c r="I61" s="1257"/>
      <c r="J61" s="66"/>
      <c r="K61" s="1527">
        <f t="shared" ref="K61:K71" si="30">IF(H61=0,"0.00%",(L61-H61)/H61)</f>
        <v>-0.20454545454545456</v>
      </c>
      <c r="L61" s="2">
        <v>35000</v>
      </c>
      <c r="M61" s="1257"/>
      <c r="O61" s="1527">
        <f t="shared" ref="O61:O71" si="31">IF(L61=0,"0.00%",(P61-L61)/L61)</f>
        <v>0</v>
      </c>
      <c r="P61" s="2">
        <f>+L61*(1-$P$60)</f>
        <v>35000</v>
      </c>
      <c r="Q61" s="1257"/>
      <c r="S61" s="83">
        <f t="shared" ref="S61:S71" si="32">IF(P61=0,"0.00%",(T61-P61)/P61)</f>
        <v>2.7314285714285715E-2</v>
      </c>
      <c r="T61" s="2">
        <f>ROUND(P61*(LEFT(U61,5)+1),0)</f>
        <v>35956</v>
      </c>
      <c r="U61" s="81" t="str">
        <f>TEXT('MYP Assumptions'!H72,"0.00%")&amp;", CPI"</f>
        <v>2.73%, CPI</v>
      </c>
      <c r="W61" s="83">
        <f t="shared" ref="W61:W71" si="33">IF(T61=0,"0.00%",(X61-T61)/T61)</f>
        <v>2.7311158082100346E-2</v>
      </c>
      <c r="X61" s="2">
        <f>ROUND(T61*(LEFT(Y61,5)+1),0)</f>
        <v>36938</v>
      </c>
      <c r="Y61" s="81" t="str">
        <f>TEXT('MYP Assumptions'!I72,"0.00%")&amp;", CPI"</f>
        <v>2.73%, CPI</v>
      </c>
      <c r="AA61" s="83">
        <f t="shared" ref="AA61:AA71" si="34">IF(X61=0,"0.00%",(AB61-X61)/X61)</f>
        <v>2.7288970707672316E-2</v>
      </c>
      <c r="AB61" s="2">
        <f>ROUND(X61*(LEFT(AC61,5)+1),0)</f>
        <v>37946</v>
      </c>
      <c r="AC61" s="81" t="str">
        <f>TEXT('MYP Assumptions'!J72,"0.00%")&amp;", CPI"</f>
        <v>2.73%, CPI</v>
      </c>
    </row>
    <row r="62" spans="1:29" x14ac:dyDescent="0.25">
      <c r="A62" s="153"/>
      <c r="B62" s="1326">
        <v>4352</v>
      </c>
      <c r="C62" s="1243" t="s">
        <v>328</v>
      </c>
      <c r="D62" s="2">
        <v>1000</v>
      </c>
      <c r="E62" s="1249"/>
      <c r="F62" s="2"/>
      <c r="G62" s="1527">
        <f t="shared" si="29"/>
        <v>0</v>
      </c>
      <c r="H62" s="2">
        <f t="shared" ref="H62:H66" si="35">+D62*(1-$H$60)</f>
        <v>1000</v>
      </c>
      <c r="I62" s="1257"/>
      <c r="J62" s="66"/>
      <c r="K62" s="1527">
        <f t="shared" si="30"/>
        <v>-0.5</v>
      </c>
      <c r="L62" s="2">
        <v>500</v>
      </c>
      <c r="M62" s="1257"/>
      <c r="O62" s="1527">
        <f t="shared" si="31"/>
        <v>0</v>
      </c>
      <c r="P62" s="2">
        <f t="shared" ref="P62:P67" si="36">+L62*(1-$P$60)</f>
        <v>500</v>
      </c>
      <c r="Q62" s="1257"/>
      <c r="S62" s="83">
        <f t="shared" si="32"/>
        <v>2.8000000000000001E-2</v>
      </c>
      <c r="T62" s="2">
        <f t="shared" ref="T62:T70" si="37">ROUND(P62*(LEFT(U62,5)+1),0)</f>
        <v>514</v>
      </c>
      <c r="U62" s="81" t="str">
        <f>TEXT('MYP Assumptions'!H72,"0.00%")&amp;", CPI"</f>
        <v>2.73%, CPI</v>
      </c>
      <c r="W62" s="83">
        <f t="shared" si="33"/>
        <v>2.7237354085603113E-2</v>
      </c>
      <c r="X62" s="2">
        <f t="shared" ref="X62:X70" si="38">ROUND(T62*(LEFT(Y62,5)+1),0)</f>
        <v>528</v>
      </c>
      <c r="Y62" s="81" t="str">
        <f>TEXT('MYP Assumptions'!I72,"0.00%")&amp;", CPI"</f>
        <v>2.73%, CPI</v>
      </c>
      <c r="AA62" s="83">
        <f t="shared" si="34"/>
        <v>2.6515151515151516E-2</v>
      </c>
      <c r="AB62" s="2">
        <f t="shared" ref="AB62:AB70" si="39">ROUND(X62*(LEFT(AC62,5)+1),0)</f>
        <v>542</v>
      </c>
      <c r="AC62" s="81" t="str">
        <f>TEXT('MYP Assumptions'!J72,"0.00%")&amp;", CPI"</f>
        <v>2.73%, CPI</v>
      </c>
    </row>
    <row r="63" spans="1:29" x14ac:dyDescent="0.25">
      <c r="A63" s="153"/>
      <c r="B63" s="1326">
        <v>4353</v>
      </c>
      <c r="C63" s="1243" t="s">
        <v>440</v>
      </c>
      <c r="D63" s="2">
        <v>1500</v>
      </c>
      <c r="E63" s="1249"/>
      <c r="F63" s="2"/>
      <c r="G63" s="1527">
        <f t="shared" si="29"/>
        <v>-0.33333333333333331</v>
      </c>
      <c r="H63" s="2">
        <v>1000</v>
      </c>
      <c r="I63" s="1257"/>
      <c r="J63" s="66"/>
      <c r="K63" s="1527">
        <f t="shared" si="30"/>
        <v>-0.25</v>
      </c>
      <c r="L63" s="2">
        <v>750</v>
      </c>
      <c r="M63" s="1257"/>
      <c r="O63" s="1527">
        <f t="shared" si="31"/>
        <v>0</v>
      </c>
      <c r="P63" s="2">
        <f t="shared" si="36"/>
        <v>750</v>
      </c>
      <c r="Q63" s="1257"/>
      <c r="S63" s="83">
        <f t="shared" si="32"/>
        <v>2.6666666666666668E-2</v>
      </c>
      <c r="T63" s="2">
        <f t="shared" si="37"/>
        <v>770</v>
      </c>
      <c r="U63" s="81" t="str">
        <f>TEXT('MYP Assumptions'!H72,"0.00%")&amp;", CPI"</f>
        <v>2.73%, CPI</v>
      </c>
      <c r="W63" s="83">
        <f t="shared" si="33"/>
        <v>2.7272727272727271E-2</v>
      </c>
      <c r="X63" s="2">
        <f t="shared" si="38"/>
        <v>791</v>
      </c>
      <c r="Y63" s="81" t="str">
        <f>TEXT('MYP Assumptions'!I72,"0.00%")&amp;", CPI"</f>
        <v>2.73%, CPI</v>
      </c>
      <c r="AA63" s="83">
        <f t="shared" si="34"/>
        <v>2.7812895069532238E-2</v>
      </c>
      <c r="AB63" s="2">
        <f t="shared" si="39"/>
        <v>813</v>
      </c>
      <c r="AC63" s="81" t="str">
        <f>TEXT('MYP Assumptions'!J72,"0.00%")&amp;", CPI"</f>
        <v>2.73%, CPI</v>
      </c>
    </row>
    <row r="64" spans="1:29" x14ac:dyDescent="0.25">
      <c r="A64" s="153"/>
      <c r="B64" s="1326">
        <v>4373</v>
      </c>
      <c r="C64" s="1243" t="s">
        <v>441</v>
      </c>
      <c r="D64" s="2">
        <v>3000</v>
      </c>
      <c r="E64" s="1249"/>
      <c r="F64" s="2"/>
      <c r="G64" s="1527">
        <f t="shared" si="29"/>
        <v>0</v>
      </c>
      <c r="H64" s="2">
        <f t="shared" si="35"/>
        <v>3000</v>
      </c>
      <c r="I64" s="1257"/>
      <c r="J64" s="66"/>
      <c r="K64" s="1527">
        <f t="shared" si="30"/>
        <v>0</v>
      </c>
      <c r="L64" s="2">
        <f t="shared" ref="L64:L67" si="40">+H64*(1-$L$60)</f>
        <v>3000</v>
      </c>
      <c r="M64" s="1257"/>
      <c r="O64" s="1527">
        <f t="shared" si="31"/>
        <v>0</v>
      </c>
      <c r="P64" s="2">
        <f t="shared" si="36"/>
        <v>3000</v>
      </c>
      <c r="Q64" s="1257"/>
      <c r="S64" s="83">
        <f t="shared" si="32"/>
        <v>2.7333333333333334E-2</v>
      </c>
      <c r="T64" s="2">
        <f t="shared" si="37"/>
        <v>3082</v>
      </c>
      <c r="U64" s="81" t="str">
        <f>TEXT('MYP Assumptions'!H72,"0.00%")&amp;", CPI"</f>
        <v>2.73%, CPI</v>
      </c>
      <c r="W64" s="83">
        <f t="shared" si="33"/>
        <v>2.7255029201817001E-2</v>
      </c>
      <c r="X64" s="2">
        <f t="shared" si="38"/>
        <v>3166</v>
      </c>
      <c r="Y64" s="81" t="str">
        <f>TEXT('MYP Assumptions'!I72,"0.00%")&amp;", CPI"</f>
        <v>2.73%, CPI</v>
      </c>
      <c r="AA64" s="83">
        <f t="shared" si="34"/>
        <v>2.7163613392293114E-2</v>
      </c>
      <c r="AB64" s="2">
        <f t="shared" si="39"/>
        <v>3252</v>
      </c>
      <c r="AC64" s="81" t="str">
        <f>TEXT('MYP Assumptions'!J72,"0.00%")&amp;", CPI"</f>
        <v>2.73%, CPI</v>
      </c>
    </row>
    <row r="65" spans="1:29" x14ac:dyDescent="0.25">
      <c r="A65" s="153"/>
      <c r="B65" s="1326">
        <v>4385</v>
      </c>
      <c r="C65" s="1243" t="s">
        <v>442</v>
      </c>
      <c r="D65" s="2">
        <v>11000</v>
      </c>
      <c r="E65" s="1249"/>
      <c r="F65" s="2"/>
      <c r="G65" s="1527">
        <f t="shared" si="29"/>
        <v>0</v>
      </c>
      <c r="H65" s="2">
        <f t="shared" si="35"/>
        <v>11000</v>
      </c>
      <c r="I65" s="1257"/>
      <c r="J65" s="66"/>
      <c r="K65" s="1527">
        <f t="shared" si="30"/>
        <v>0</v>
      </c>
      <c r="L65" s="2">
        <f t="shared" si="40"/>
        <v>11000</v>
      </c>
      <c r="M65" s="1257"/>
      <c r="O65" s="1527">
        <f t="shared" si="31"/>
        <v>0</v>
      </c>
      <c r="P65" s="2">
        <f t="shared" si="36"/>
        <v>11000</v>
      </c>
      <c r="Q65" s="1257"/>
      <c r="S65" s="83">
        <f t="shared" si="32"/>
        <v>2.7272727272727271E-2</v>
      </c>
      <c r="T65" s="2">
        <f t="shared" si="37"/>
        <v>11300</v>
      </c>
      <c r="U65" s="81" t="str">
        <f>TEXT('MYP Assumptions'!H72,"0.00%")&amp;", CPI"</f>
        <v>2.73%, CPI</v>
      </c>
      <c r="W65" s="83">
        <f t="shared" si="33"/>
        <v>2.7256637168141595E-2</v>
      </c>
      <c r="X65" s="2">
        <f t="shared" si="38"/>
        <v>11608</v>
      </c>
      <c r="Y65" s="81" t="str">
        <f>TEXT('MYP Assumptions'!I72,"0.00%")&amp;", CPI"</f>
        <v>2.73%, CPI</v>
      </c>
      <c r="AA65" s="83">
        <f t="shared" si="34"/>
        <v>2.7308752584424535E-2</v>
      </c>
      <c r="AB65" s="2">
        <f t="shared" si="39"/>
        <v>11925</v>
      </c>
      <c r="AC65" s="81" t="str">
        <f>TEXT('MYP Assumptions'!J72,"0.00%")&amp;", CPI"</f>
        <v>2.73%, CPI</v>
      </c>
    </row>
    <row r="66" spans="1:29" x14ac:dyDescent="0.25">
      <c r="A66" s="153"/>
      <c r="B66" s="1326">
        <v>4387</v>
      </c>
      <c r="C66" s="1243" t="s">
        <v>443</v>
      </c>
      <c r="D66" s="2">
        <v>88500</v>
      </c>
      <c r="E66" s="1249"/>
      <c r="F66" s="2"/>
      <c r="G66" s="1527">
        <f t="shared" si="29"/>
        <v>0</v>
      </c>
      <c r="H66" s="2">
        <f t="shared" si="35"/>
        <v>88500</v>
      </c>
      <c r="I66" s="1257"/>
      <c r="J66" s="66"/>
      <c r="K66" s="1527">
        <f t="shared" si="30"/>
        <v>0</v>
      </c>
      <c r="L66" s="2">
        <f t="shared" si="40"/>
        <v>88500</v>
      </c>
      <c r="M66" s="1257"/>
      <c r="O66" s="1527">
        <f t="shared" si="31"/>
        <v>0</v>
      </c>
      <c r="P66" s="2">
        <f t="shared" si="36"/>
        <v>88500</v>
      </c>
      <c r="Q66" s="1257"/>
      <c r="S66" s="83">
        <f t="shared" si="32"/>
        <v>2.7299435028248588E-2</v>
      </c>
      <c r="T66" s="2">
        <f t="shared" si="37"/>
        <v>90916</v>
      </c>
      <c r="U66" s="81" t="str">
        <f>TEXT('MYP Assumptions'!H72,"0.00%")&amp;", CPI"</f>
        <v>2.73%, CPI</v>
      </c>
      <c r="W66" s="83">
        <f t="shared" si="33"/>
        <v>2.7299925205684368E-2</v>
      </c>
      <c r="X66" s="2">
        <f t="shared" si="38"/>
        <v>93398</v>
      </c>
      <c r="Y66" s="81" t="str">
        <f>TEXT('MYP Assumptions'!I72,"0.00%")&amp;", CPI"</f>
        <v>2.73%, CPI</v>
      </c>
      <c r="AA66" s="83">
        <f t="shared" si="34"/>
        <v>2.730251183108846E-2</v>
      </c>
      <c r="AB66" s="2">
        <f t="shared" si="39"/>
        <v>95948</v>
      </c>
      <c r="AC66" s="81" t="str">
        <f>TEXT('MYP Assumptions'!J72,"0.00%")&amp;", CPI"</f>
        <v>2.73%, CPI</v>
      </c>
    </row>
    <row r="67" spans="1:29" x14ac:dyDescent="0.25">
      <c r="A67" s="153"/>
      <c r="B67" s="1326">
        <v>4400</v>
      </c>
      <c r="C67" s="1243" t="s">
        <v>444</v>
      </c>
      <c r="D67" s="2">
        <v>8750</v>
      </c>
      <c r="E67" s="1249"/>
      <c r="F67" s="2"/>
      <c r="G67" s="1527">
        <f t="shared" si="29"/>
        <v>5.7142857142857143E-3</v>
      </c>
      <c r="H67" s="2">
        <v>8800</v>
      </c>
      <c r="I67" s="1257"/>
      <c r="J67" s="66"/>
      <c r="K67" s="1527">
        <f t="shared" si="30"/>
        <v>0</v>
      </c>
      <c r="L67" s="2">
        <f t="shared" si="40"/>
        <v>8800</v>
      </c>
      <c r="M67" s="1257"/>
      <c r="O67" s="1527">
        <f t="shared" si="31"/>
        <v>0</v>
      </c>
      <c r="P67" s="2">
        <f t="shared" si="36"/>
        <v>8800</v>
      </c>
      <c r="Q67" s="1257"/>
      <c r="S67" s="83"/>
      <c r="T67" s="2"/>
      <c r="U67" s="81"/>
      <c r="W67" s="83"/>
      <c r="X67" s="2"/>
      <c r="Y67" s="81"/>
      <c r="AA67" s="83"/>
      <c r="AB67" s="2"/>
      <c r="AC67" s="81"/>
    </row>
    <row r="68" spans="1:29" x14ac:dyDescent="0.25">
      <c r="A68" s="153"/>
      <c r="B68" s="1326"/>
      <c r="E68" s="1249"/>
      <c r="F68" s="2"/>
      <c r="G68" s="1527"/>
      <c r="H68" s="2"/>
      <c r="I68" s="1240"/>
      <c r="J68" s="66"/>
      <c r="K68" s="1527"/>
      <c r="L68" s="2"/>
      <c r="M68" s="1240"/>
      <c r="O68" s="1527"/>
      <c r="Q68" s="1240"/>
      <c r="S68" s="83"/>
      <c r="T68" s="2"/>
      <c r="U68" s="81"/>
      <c r="W68" s="83"/>
      <c r="X68" s="2"/>
      <c r="Y68" s="81"/>
      <c r="AA68" s="83"/>
      <c r="AB68" s="2"/>
      <c r="AC68" s="81"/>
    </row>
    <row r="69" spans="1:29" hidden="1" x14ac:dyDescent="0.25">
      <c r="A69" s="153"/>
      <c r="B69" s="1326"/>
      <c r="E69" s="1249"/>
      <c r="F69" s="2"/>
      <c r="G69" s="1527" t="str">
        <f t="shared" si="29"/>
        <v>0.00%</v>
      </c>
      <c r="H69" s="2">
        <f t="shared" ref="H69:H70" si="41">ROUND(D69*(LEFT(I69,5)+1),0)</f>
        <v>0</v>
      </c>
      <c r="I69" s="1240" t="str">
        <f>TEXT('MYP Assumptions'!$E$72,"0.00%")&amp;", CPI"</f>
        <v>3.11%, CPI</v>
      </c>
      <c r="J69" s="66"/>
      <c r="K69" s="1527" t="str">
        <f t="shared" si="30"/>
        <v>0.00%</v>
      </c>
      <c r="L69" s="2">
        <f t="shared" ref="L69:L70" si="42">ROUND(H69*(LEFT(M69,5)+1),0)</f>
        <v>0</v>
      </c>
      <c r="M69" s="1240" t="str">
        <f>TEXT('MYP Assumptions'!$F$72,"0.00%")&amp;", CPI"</f>
        <v>3.19%, CPI</v>
      </c>
      <c r="O69" s="1527" t="str">
        <f t="shared" si="31"/>
        <v>0.00%</v>
      </c>
      <c r="P69" s="2">
        <f t="shared" ref="P69:P70" si="43">ROUND(L69*(LEFT(Q69,5)+1),0)</f>
        <v>0</v>
      </c>
      <c r="Q69" s="1240" t="str">
        <f>TEXT('MYP Assumptions'!$G$72,"0.00%")&amp;", CPI"</f>
        <v>2.86%, CPI</v>
      </c>
      <c r="S69" s="83"/>
      <c r="T69" s="2"/>
      <c r="U69" s="81"/>
      <c r="W69" s="83"/>
      <c r="X69" s="2"/>
      <c r="Y69" s="81"/>
      <c r="AA69" s="83"/>
      <c r="AB69" s="2"/>
      <c r="AC69" s="81"/>
    </row>
    <row r="70" spans="1:29" hidden="1" x14ac:dyDescent="0.25">
      <c r="A70" s="153"/>
      <c r="B70" s="1326"/>
      <c r="E70" s="1249"/>
      <c r="F70" s="2"/>
      <c r="G70" s="1527" t="str">
        <f t="shared" si="29"/>
        <v>0.00%</v>
      </c>
      <c r="H70" s="2">
        <f t="shared" si="41"/>
        <v>0</v>
      </c>
      <c r="I70" s="1240" t="str">
        <f>TEXT('MYP Assumptions'!$E$72,"0.00%")&amp;", CPI"</f>
        <v>3.11%, CPI</v>
      </c>
      <c r="J70" s="66"/>
      <c r="K70" s="1527" t="str">
        <f t="shared" si="30"/>
        <v>0.00%</v>
      </c>
      <c r="L70" s="2">
        <f t="shared" si="42"/>
        <v>0</v>
      </c>
      <c r="M70" s="1240" t="str">
        <f>TEXT('MYP Assumptions'!$F$72,"0.00%")&amp;", CPI"</f>
        <v>3.19%, CPI</v>
      </c>
      <c r="O70" s="1527" t="str">
        <f t="shared" si="31"/>
        <v>0.00%</v>
      </c>
      <c r="P70" s="2">
        <f t="shared" si="43"/>
        <v>0</v>
      </c>
      <c r="Q70" s="1240" t="str">
        <f>TEXT('MYP Assumptions'!$G$72,"0.00%")&amp;", CPI"</f>
        <v>2.86%, CPI</v>
      </c>
      <c r="S70" s="83" t="str">
        <f t="shared" si="32"/>
        <v>0.00%</v>
      </c>
      <c r="T70" s="2">
        <f t="shared" si="37"/>
        <v>0</v>
      </c>
      <c r="U70" s="81" t="str">
        <f>TEXT('MYP Assumptions'!H72,"0.00%")&amp;", CPI"</f>
        <v>2.73%, CPI</v>
      </c>
      <c r="W70" s="83" t="str">
        <f t="shared" si="33"/>
        <v>0.00%</v>
      </c>
      <c r="X70" s="2">
        <f t="shared" si="38"/>
        <v>0</v>
      </c>
      <c r="Y70" s="81" t="str">
        <f>TEXT('MYP Assumptions'!I72,"0.00%")&amp;", CPI"</f>
        <v>2.73%, CPI</v>
      </c>
      <c r="AA70" s="83" t="str">
        <f t="shared" si="34"/>
        <v>0.00%</v>
      </c>
      <c r="AB70" s="2">
        <f t="shared" si="39"/>
        <v>0</v>
      </c>
      <c r="AC70" s="81" t="str">
        <f>TEXT('MYP Assumptions'!J72,"0.00%")&amp;", CPI"</f>
        <v>2.73%, CPI</v>
      </c>
    </row>
    <row r="71" spans="1:29" x14ac:dyDescent="0.25">
      <c r="A71" s="154"/>
      <c r="B71" s="1243"/>
      <c r="D71" s="8">
        <f>SUM(D61:D70)</f>
        <v>157750</v>
      </c>
      <c r="E71" s="1249"/>
      <c r="F71" s="2"/>
      <c r="G71" s="1527">
        <f t="shared" si="29"/>
        <v>-2.8526148969889066E-3</v>
      </c>
      <c r="H71" s="8">
        <f>SUM(H61:H70)</f>
        <v>157300</v>
      </c>
      <c r="I71" s="1882">
        <f>+H71-D71</f>
        <v>-450</v>
      </c>
      <c r="J71" s="29"/>
      <c r="K71" s="1527">
        <f t="shared" si="30"/>
        <v>-6.1983471074380167E-2</v>
      </c>
      <c r="L71" s="8">
        <f>SUM(L61:L70)</f>
        <v>147550</v>
      </c>
      <c r="M71" s="1882">
        <f>+L71-H71</f>
        <v>-9750</v>
      </c>
      <c r="O71" s="1527">
        <f t="shared" si="31"/>
        <v>0</v>
      </c>
      <c r="P71" s="8">
        <f>SUM(P61:P70)</f>
        <v>147550</v>
      </c>
      <c r="Q71" s="1882">
        <f>+P71-L71</f>
        <v>0</v>
      </c>
      <c r="S71" s="83">
        <f t="shared" si="32"/>
        <v>-3.3968146391053881E-2</v>
      </c>
      <c r="T71" s="8">
        <f>SUM(T61:T70)</f>
        <v>142538</v>
      </c>
      <c r="U71" s="73"/>
      <c r="W71" s="83">
        <f t="shared" si="33"/>
        <v>2.7297983695575918E-2</v>
      </c>
      <c r="X71" s="8">
        <f>SUM(X61:X70)</f>
        <v>146429</v>
      </c>
      <c r="Y71" s="73"/>
      <c r="AA71" s="83">
        <f t="shared" si="34"/>
        <v>2.7296505473642516E-2</v>
      </c>
      <c r="AB71" s="8">
        <f>SUM(AB61:AB70)</f>
        <v>150426</v>
      </c>
      <c r="AC71" s="73"/>
    </row>
    <row r="72" spans="1:29" x14ac:dyDescent="0.25">
      <c r="A72" s="153"/>
      <c r="E72" s="1249"/>
      <c r="F72" s="2"/>
      <c r="H72" s="2"/>
      <c r="I72" s="1257"/>
      <c r="J72" s="66"/>
      <c r="L72" s="2"/>
      <c r="M72" s="1335"/>
      <c r="Q72" s="1335"/>
      <c r="T72" s="2"/>
      <c r="U72" s="73"/>
      <c r="X72" s="2"/>
      <c r="Y72" s="73"/>
      <c r="AB72" s="2"/>
      <c r="AC72" s="73"/>
    </row>
    <row r="73" spans="1:29" s="4" customFormat="1" x14ac:dyDescent="0.25">
      <c r="A73" s="151"/>
      <c r="B73" s="1323" t="s">
        <v>16</v>
      </c>
      <c r="C73" s="1259"/>
      <c r="D73" s="6"/>
      <c r="E73" s="1250"/>
      <c r="F73" s="6"/>
      <c r="G73" s="1539"/>
      <c r="H73" s="616"/>
      <c r="I73" s="1257"/>
      <c r="J73" s="58"/>
      <c r="K73" s="1571"/>
      <c r="L73" s="616"/>
      <c r="M73" s="1257"/>
      <c r="O73" s="1571"/>
      <c r="P73" s="6"/>
      <c r="Q73" s="1337"/>
      <c r="R73" s="111"/>
      <c r="U73" s="71"/>
      <c r="Y73" s="71"/>
      <c r="AC73" s="71"/>
    </row>
    <row r="74" spans="1:29" x14ac:dyDescent="0.25">
      <c r="A74" s="153"/>
      <c r="B74" s="1326" t="s">
        <v>369</v>
      </c>
      <c r="C74" s="1243" t="s">
        <v>445</v>
      </c>
      <c r="D74" s="2">
        <f>9432+184</f>
        <v>9616</v>
      </c>
      <c r="E74" s="1249"/>
      <c r="F74" s="2"/>
      <c r="G74" s="1527">
        <f t="shared" ref="G74:G79" si="44">IF(D74=0,"0.00%",(H74-D74)/D74)</f>
        <v>-0.1992512479201331</v>
      </c>
      <c r="H74" s="2">
        <f>7500+200</f>
        <v>7700</v>
      </c>
      <c r="I74" s="1257"/>
      <c r="J74" s="66"/>
      <c r="K74" s="1527">
        <f t="shared" ref="K74:K89" si="45">IF(H74=0,"0.00%",(L74-H74)/H74)</f>
        <v>-0.67532467532467533</v>
      </c>
      <c r="L74" s="2">
        <v>2500</v>
      </c>
      <c r="M74" s="1257"/>
      <c r="O74" s="1527">
        <f t="shared" ref="O74:O89" si="46">IF(L74=0,"0.00%",(P74-L74)/L74)</f>
        <v>0</v>
      </c>
      <c r="P74" s="2">
        <f>+L74</f>
        <v>2500</v>
      </c>
      <c r="Q74" s="1240"/>
      <c r="S74" s="83">
        <f t="shared" ref="S74:S89" si="47">IF(P74=0,"0.00%",(T74-P74)/P74)</f>
        <v>2.7199999999999998E-2</v>
      </c>
      <c r="T74" s="2">
        <f>ROUND(P74*(LEFT(U74,5)+1),0)</f>
        <v>2568</v>
      </c>
      <c r="U74" s="81" t="str">
        <f>TEXT('MYP Assumptions'!H72,"0.00%")&amp;", CPI"</f>
        <v>2.73%, CPI</v>
      </c>
      <c r="W74" s="83">
        <f t="shared" ref="W74:W89" si="48">IF(T74=0,"0.00%",(X74-T74)/T74)</f>
        <v>2.7258566978193146E-2</v>
      </c>
      <c r="X74" s="2">
        <f>ROUND(T74*(LEFT(Y74,5)+1),0)</f>
        <v>2638</v>
      </c>
      <c r="Y74" s="81" t="str">
        <f>TEXT('MYP Assumptions'!I72,"0.00%")&amp;", CPI"</f>
        <v>2.73%, CPI</v>
      </c>
      <c r="AA74" s="83">
        <f t="shared" ref="AA74:AA89" si="49">IF(X74=0,"0.00%",(AB74-X74)/X74)</f>
        <v>2.7293404094010616E-2</v>
      </c>
      <c r="AB74" s="2">
        <f>ROUND(X74*(LEFT(AC74,5)+1),0)</f>
        <v>2710</v>
      </c>
      <c r="AC74" s="81" t="str">
        <f>TEXT('MYP Assumptions'!J72,"0.00%")&amp;", CPI"</f>
        <v>2.73%, CPI</v>
      </c>
    </row>
    <row r="75" spans="1:29" x14ac:dyDescent="0.25">
      <c r="A75" s="153"/>
      <c r="B75" s="1326">
        <v>5450</v>
      </c>
      <c r="C75" s="1243" t="s">
        <v>446</v>
      </c>
      <c r="D75" s="2">
        <v>1000</v>
      </c>
      <c r="E75" s="1249"/>
      <c r="F75" s="2"/>
      <c r="G75" s="1527">
        <f t="shared" si="44"/>
        <v>1</v>
      </c>
      <c r="H75" s="2">
        <v>2000</v>
      </c>
      <c r="I75" s="1240"/>
      <c r="J75" s="66"/>
      <c r="K75" s="1527">
        <f t="shared" si="45"/>
        <v>3.2000000000000001E-2</v>
      </c>
      <c r="L75" s="2">
        <f t="shared" ref="L75" si="50">ROUND(H75*(LEFT(M75,5)+1),0)</f>
        <v>2064</v>
      </c>
      <c r="M75" s="1240" t="str">
        <f>TEXT('MYP Assumptions'!F72,"0.00%")&amp;", CPI"</f>
        <v>3.19%, CPI</v>
      </c>
      <c r="O75" s="1527">
        <f t="shared" si="46"/>
        <v>0</v>
      </c>
      <c r="P75" s="2">
        <f t="shared" ref="P75:P86" si="51">+L75</f>
        <v>2064</v>
      </c>
      <c r="Q75" s="1240"/>
      <c r="S75" s="83">
        <f t="shared" si="47"/>
        <v>2.7131782945736434E-2</v>
      </c>
      <c r="T75" s="2">
        <f t="shared" ref="T75:T88" si="52">ROUND(P75*(LEFT(U75,5)+1),0)</f>
        <v>2120</v>
      </c>
      <c r="U75" s="81" t="str">
        <f>TEXT('MYP Assumptions'!H72,"0.00%")&amp;", CPI"</f>
        <v>2.73%, CPI</v>
      </c>
      <c r="W75" s="83">
        <f t="shared" si="48"/>
        <v>2.7358490566037737E-2</v>
      </c>
      <c r="X75" s="2">
        <f t="shared" ref="X75:X88" si="53">ROUND(T75*(LEFT(Y75,5)+1),0)</f>
        <v>2178</v>
      </c>
      <c r="Y75" s="81" t="str">
        <f>TEXT('MYP Assumptions'!I72,"0.00%")&amp;", CPI"</f>
        <v>2.73%, CPI</v>
      </c>
      <c r="AA75" s="83">
        <f t="shared" si="49"/>
        <v>2.7089072543617997E-2</v>
      </c>
      <c r="AB75" s="2">
        <f t="shared" ref="AB75:AB88" si="54">ROUND(X75*(LEFT(AC75,5)+1),0)</f>
        <v>2237</v>
      </c>
      <c r="AC75" s="81" t="str">
        <f>TEXT('MYP Assumptions'!J72,"0.00%")&amp;", CPI"</f>
        <v>2.73%, CPI</v>
      </c>
    </row>
    <row r="76" spans="1:29" x14ac:dyDescent="0.25">
      <c r="A76" s="153"/>
      <c r="B76" s="1326">
        <v>5607</v>
      </c>
      <c r="C76" s="1243" t="s">
        <v>333</v>
      </c>
      <c r="D76" s="2">
        <v>11400</v>
      </c>
      <c r="E76" s="1249"/>
      <c r="F76" s="2"/>
      <c r="G76" s="1527">
        <f t="shared" si="44"/>
        <v>0.27192982456140352</v>
      </c>
      <c r="H76" s="2">
        <v>14500</v>
      </c>
      <c r="I76" s="1240"/>
      <c r="J76" s="66"/>
      <c r="K76" s="1527">
        <f t="shared" si="45"/>
        <v>-0.31034482758620691</v>
      </c>
      <c r="L76" s="2">
        <v>10000</v>
      </c>
      <c r="M76" s="1240"/>
      <c r="O76" s="1527">
        <f t="shared" si="46"/>
        <v>0</v>
      </c>
      <c r="P76" s="2">
        <f t="shared" si="51"/>
        <v>10000</v>
      </c>
      <c r="Q76" s="1240"/>
      <c r="S76" s="83">
        <f t="shared" si="47"/>
        <v>2.7300000000000001E-2</v>
      </c>
      <c r="T76" s="2">
        <f t="shared" si="52"/>
        <v>10273</v>
      </c>
      <c r="U76" s="81" t="str">
        <f>TEXT('MYP Assumptions'!H72,"0.00%")&amp;", CPI"</f>
        <v>2.73%, CPI</v>
      </c>
      <c r="W76" s="83">
        <f t="shared" si="48"/>
        <v>2.7255913559816995E-2</v>
      </c>
      <c r="X76" s="2">
        <f t="shared" si="53"/>
        <v>10553</v>
      </c>
      <c r="Y76" s="81" t="str">
        <f>TEXT('MYP Assumptions'!I72,"0.00%")&amp;", CPI"</f>
        <v>2.73%, CPI</v>
      </c>
      <c r="AA76" s="83">
        <f t="shared" si="49"/>
        <v>2.7290817776935469E-2</v>
      </c>
      <c r="AB76" s="2">
        <f t="shared" si="54"/>
        <v>10841</v>
      </c>
      <c r="AC76" s="81" t="str">
        <f>TEXT('MYP Assumptions'!J72,"0.00%")&amp;", CPI"</f>
        <v>2.73%, CPI</v>
      </c>
    </row>
    <row r="77" spans="1:29" x14ac:dyDescent="0.25">
      <c r="A77" s="153"/>
      <c r="B77" s="1326">
        <v>5608</v>
      </c>
      <c r="C77" s="1243" t="s">
        <v>447</v>
      </c>
      <c r="D77" s="2">
        <v>384</v>
      </c>
      <c r="E77" s="1249"/>
      <c r="F77" s="2"/>
      <c r="G77" s="1527">
        <f t="shared" si="44"/>
        <v>-1</v>
      </c>
      <c r="H77" s="2">
        <v>0</v>
      </c>
      <c r="I77" s="1240"/>
      <c r="J77" s="66"/>
      <c r="K77" s="1527" t="str">
        <f t="shared" si="45"/>
        <v>0.00%</v>
      </c>
      <c r="L77" s="2">
        <f>+H77</f>
        <v>0</v>
      </c>
      <c r="M77" s="1240"/>
      <c r="O77" s="1527" t="str">
        <f t="shared" si="46"/>
        <v>0.00%</v>
      </c>
      <c r="P77" s="2">
        <f t="shared" si="51"/>
        <v>0</v>
      </c>
      <c r="Q77" s="1240"/>
      <c r="S77" s="83" t="str">
        <f t="shared" si="47"/>
        <v>0.00%</v>
      </c>
      <c r="T77" s="2">
        <f t="shared" si="52"/>
        <v>0</v>
      </c>
      <c r="U77" s="81" t="str">
        <f>TEXT('MYP Assumptions'!H72,"0.00%")&amp;", CPI"</f>
        <v>2.73%, CPI</v>
      </c>
      <c r="W77" s="83" t="str">
        <f t="shared" si="48"/>
        <v>0.00%</v>
      </c>
      <c r="X77" s="2">
        <f t="shared" si="53"/>
        <v>0</v>
      </c>
      <c r="Y77" s="81" t="str">
        <f>TEXT('MYP Assumptions'!I72,"0.00%")&amp;", CPI"</f>
        <v>2.73%, CPI</v>
      </c>
      <c r="AA77" s="83" t="str">
        <f t="shared" si="49"/>
        <v>0.00%</v>
      </c>
      <c r="AB77" s="2">
        <f t="shared" si="54"/>
        <v>0</v>
      </c>
      <c r="AC77" s="81" t="str">
        <f>TEXT('MYP Assumptions'!J72,"0.00%")&amp;", CPI"</f>
        <v>2.73%, CPI</v>
      </c>
    </row>
    <row r="78" spans="1:29" x14ac:dyDescent="0.25">
      <c r="A78" s="153"/>
      <c r="B78" s="1326">
        <v>5725</v>
      </c>
      <c r="C78" s="1243" t="s">
        <v>435</v>
      </c>
      <c r="D78" s="2">
        <v>-47789</v>
      </c>
      <c r="E78" s="1249"/>
      <c r="F78" s="2"/>
      <c r="G78" s="1527">
        <f t="shared" si="44"/>
        <v>3.6786708238297515E-2</v>
      </c>
      <c r="H78" s="2">
        <v>-49547</v>
      </c>
      <c r="I78" s="1240"/>
      <c r="J78" s="66"/>
      <c r="K78" s="1527">
        <f t="shared" si="45"/>
        <v>0</v>
      </c>
      <c r="L78" s="2">
        <f>+H78</f>
        <v>-49547</v>
      </c>
      <c r="M78" s="1240"/>
      <c r="O78" s="1527">
        <f t="shared" si="46"/>
        <v>0</v>
      </c>
      <c r="P78" s="2">
        <f t="shared" si="51"/>
        <v>-49547</v>
      </c>
      <c r="Q78" s="1240"/>
      <c r="S78" s="83">
        <f t="shared" si="47"/>
        <v>2.7307405090116456E-2</v>
      </c>
      <c r="T78" s="2">
        <f t="shared" si="52"/>
        <v>-50900</v>
      </c>
      <c r="U78" s="81" t="str">
        <f>TEXT('MYP Assumptions'!H72,"0.00%")&amp;", CPI"</f>
        <v>2.73%, CPI</v>
      </c>
      <c r="W78" s="83">
        <f t="shared" si="48"/>
        <v>2.7308447937131632E-2</v>
      </c>
      <c r="X78" s="2">
        <f t="shared" si="53"/>
        <v>-52290</v>
      </c>
      <c r="Y78" s="81" t="str">
        <f>TEXT('MYP Assumptions'!I72,"0.00%")&amp;", CPI"</f>
        <v>2.73%, CPI</v>
      </c>
      <c r="AA78" s="83">
        <f t="shared" si="49"/>
        <v>2.7309236947791166E-2</v>
      </c>
      <c r="AB78" s="2">
        <f t="shared" si="54"/>
        <v>-53718</v>
      </c>
      <c r="AC78" s="81" t="str">
        <f>TEXT('MYP Assumptions'!J72,"0.00%")&amp;", CPI"</f>
        <v>2.73%, CPI</v>
      </c>
    </row>
    <row r="79" spans="1:29" x14ac:dyDescent="0.25">
      <c r="A79" s="153"/>
      <c r="B79" s="1326">
        <v>5779</v>
      </c>
      <c r="C79" s="1243" t="s">
        <v>448</v>
      </c>
      <c r="D79" s="2">
        <v>-30000</v>
      </c>
      <c r="E79" s="1249"/>
      <c r="F79" s="2"/>
      <c r="G79" s="1527">
        <f t="shared" si="44"/>
        <v>0</v>
      </c>
      <c r="H79" s="2">
        <v>-30000</v>
      </c>
      <c r="I79" s="1240"/>
      <c r="J79" s="66"/>
      <c r="K79" s="1527">
        <f t="shared" si="45"/>
        <v>0</v>
      </c>
      <c r="L79" s="2">
        <f>+H79</f>
        <v>-30000</v>
      </c>
      <c r="M79" s="1240"/>
      <c r="O79" s="1527">
        <f t="shared" si="46"/>
        <v>0</v>
      </c>
      <c r="P79" s="2">
        <f t="shared" si="51"/>
        <v>-30000</v>
      </c>
      <c r="Q79" s="1240"/>
      <c r="S79" s="83">
        <f t="shared" si="47"/>
        <v>2.7300000000000001E-2</v>
      </c>
      <c r="T79" s="2">
        <f t="shared" si="52"/>
        <v>-30819</v>
      </c>
      <c r="U79" s="81" t="str">
        <f>TEXT('MYP Assumptions'!H72,"0.00%")&amp;", CPI"</f>
        <v>2.73%, CPI</v>
      </c>
      <c r="W79" s="83">
        <f t="shared" si="48"/>
        <v>2.7288361075959635E-2</v>
      </c>
      <c r="X79" s="2">
        <f t="shared" si="53"/>
        <v>-31660</v>
      </c>
      <c r="Y79" s="81" t="str">
        <f>TEXT('MYP Assumptions'!I72,"0.00%")&amp;", CPI"</f>
        <v>2.73%, CPI</v>
      </c>
      <c r="AA79" s="83">
        <f t="shared" si="49"/>
        <v>2.7289955780164243E-2</v>
      </c>
      <c r="AB79" s="2">
        <f t="shared" si="54"/>
        <v>-32524</v>
      </c>
      <c r="AC79" s="81" t="str">
        <f>TEXT('MYP Assumptions'!J72,"0.00%")&amp;", CPI"</f>
        <v>2.73%, CPI</v>
      </c>
    </row>
    <row r="80" spans="1:29" x14ac:dyDescent="0.25">
      <c r="A80" s="153"/>
      <c r="B80" s="1326">
        <v>5809</v>
      </c>
      <c r="C80" s="1243" t="s">
        <v>123</v>
      </c>
      <c r="D80" s="2">
        <v>3550</v>
      </c>
      <c r="E80" s="1249"/>
      <c r="F80" s="2"/>
      <c r="G80" s="1527">
        <f>IF(D80=0,"0.00%",(H80-D80)/D80)</f>
        <v>-0.85915492957746475</v>
      </c>
      <c r="H80" s="2">
        <v>500</v>
      </c>
      <c r="I80" s="1240"/>
      <c r="J80" s="66"/>
      <c r="K80" s="1527">
        <f t="shared" si="45"/>
        <v>-0.5</v>
      </c>
      <c r="L80" s="2">
        <v>250</v>
      </c>
      <c r="M80" s="1240"/>
      <c r="O80" s="1527">
        <f t="shared" si="46"/>
        <v>0</v>
      </c>
      <c r="P80" s="2">
        <f t="shared" si="51"/>
        <v>250</v>
      </c>
      <c r="Q80" s="1240"/>
      <c r="S80" s="83">
        <f t="shared" si="47"/>
        <v>2.8000000000000001E-2</v>
      </c>
      <c r="T80" s="2">
        <f t="shared" si="52"/>
        <v>257</v>
      </c>
      <c r="U80" s="81" t="str">
        <f>TEXT('MYP Assumptions'!H72,"0.00%")&amp;", CPI"</f>
        <v>2.73%, CPI</v>
      </c>
      <c r="W80" s="83">
        <f t="shared" si="48"/>
        <v>2.7237354085603113E-2</v>
      </c>
      <c r="X80" s="2">
        <f t="shared" si="53"/>
        <v>264</v>
      </c>
      <c r="Y80" s="81" t="str">
        <f>TEXT('MYP Assumptions'!I72,"0.00%")&amp;", CPI"</f>
        <v>2.73%, CPI</v>
      </c>
      <c r="AA80" s="83">
        <f t="shared" si="49"/>
        <v>2.6515151515151516E-2</v>
      </c>
      <c r="AB80" s="2">
        <f t="shared" si="54"/>
        <v>271</v>
      </c>
      <c r="AC80" s="81" t="str">
        <f>TEXT('MYP Assumptions'!J72,"0.00%")&amp;", CPI"</f>
        <v>2.73%, CPI</v>
      </c>
    </row>
    <row r="81" spans="1:29" x14ac:dyDescent="0.25">
      <c r="A81" s="153"/>
      <c r="B81" s="1326">
        <v>5810</v>
      </c>
      <c r="C81" s="1243" t="s">
        <v>437</v>
      </c>
      <c r="D81" s="2">
        <v>1500</v>
      </c>
      <c r="E81" s="1249"/>
      <c r="F81" s="2"/>
      <c r="G81" s="1527">
        <f t="shared" ref="G81:G89" si="55">IF(D81=0,"0.00%",(H81-D81)/D81)</f>
        <v>0.33333333333333331</v>
      </c>
      <c r="H81" s="2">
        <v>2000</v>
      </c>
      <c r="I81" s="1240"/>
      <c r="J81" s="66"/>
      <c r="K81" s="1527">
        <f t="shared" si="45"/>
        <v>-0.5</v>
      </c>
      <c r="L81" s="2">
        <v>1000</v>
      </c>
      <c r="M81" s="1240"/>
      <c r="O81" s="1527">
        <f t="shared" si="46"/>
        <v>0</v>
      </c>
      <c r="P81" s="2">
        <f t="shared" si="51"/>
        <v>1000</v>
      </c>
      <c r="Q81" s="1240"/>
      <c r="S81" s="83">
        <f t="shared" si="47"/>
        <v>2.7E-2</v>
      </c>
      <c r="T81" s="2">
        <f t="shared" si="52"/>
        <v>1027</v>
      </c>
      <c r="U81" s="81" t="str">
        <f>TEXT('MYP Assumptions'!H72,"0.00%")&amp;", CPI"</f>
        <v>2.73%, CPI</v>
      </c>
      <c r="W81" s="83">
        <f t="shared" si="48"/>
        <v>2.7263875365141188E-2</v>
      </c>
      <c r="X81" s="2">
        <f t="shared" si="53"/>
        <v>1055</v>
      </c>
      <c r="Y81" s="81" t="str">
        <f>TEXT('MYP Assumptions'!I72,"0.00%")&amp;", CPI"</f>
        <v>2.73%, CPI</v>
      </c>
      <c r="AA81" s="83">
        <f t="shared" si="49"/>
        <v>2.7488151658767772E-2</v>
      </c>
      <c r="AB81" s="2">
        <f t="shared" si="54"/>
        <v>1084</v>
      </c>
      <c r="AC81" s="81" t="str">
        <f>TEXT('MYP Assumptions'!J72,"0.00%")&amp;", CPI"</f>
        <v>2.73%, CPI</v>
      </c>
    </row>
    <row r="82" spans="1:29" x14ac:dyDescent="0.25">
      <c r="A82" s="153"/>
      <c r="B82" s="1326">
        <v>5813</v>
      </c>
      <c r="C82" s="1243" t="s">
        <v>6</v>
      </c>
      <c r="D82" s="2">
        <v>8100</v>
      </c>
      <c r="E82" s="1249"/>
      <c r="F82" s="2"/>
      <c r="G82" s="1527">
        <f t="shared" si="55"/>
        <v>-0.62962962962962965</v>
      </c>
      <c r="H82" s="2">
        <v>3000</v>
      </c>
      <c r="I82" s="1240"/>
      <c r="J82" s="66"/>
      <c r="K82" s="1527">
        <f t="shared" si="45"/>
        <v>-0.33333333333333331</v>
      </c>
      <c r="L82" s="2">
        <v>2000</v>
      </c>
      <c r="M82" s="1240"/>
      <c r="O82" s="1527">
        <f t="shared" si="46"/>
        <v>0</v>
      </c>
      <c r="P82" s="2">
        <f t="shared" si="51"/>
        <v>2000</v>
      </c>
      <c r="Q82" s="1240"/>
      <c r="S82" s="83">
        <f t="shared" si="47"/>
        <v>2.75E-2</v>
      </c>
      <c r="T82" s="2">
        <f t="shared" si="52"/>
        <v>2055</v>
      </c>
      <c r="U82" s="81" t="str">
        <f>TEXT('MYP Assumptions'!H72,"0.00%")&amp;", CPI"</f>
        <v>2.73%, CPI</v>
      </c>
      <c r="W82" s="83">
        <f t="shared" si="48"/>
        <v>2.7250608272506083E-2</v>
      </c>
      <c r="X82" s="2">
        <f t="shared" si="53"/>
        <v>2111</v>
      </c>
      <c r="Y82" s="81" t="str">
        <f>TEXT('MYP Assumptions'!I72,"0.00%")&amp;", CPI"</f>
        <v>2.73%, CPI</v>
      </c>
      <c r="AA82" s="83">
        <f t="shared" si="49"/>
        <v>2.7475130270014213E-2</v>
      </c>
      <c r="AB82" s="2">
        <f t="shared" si="54"/>
        <v>2169</v>
      </c>
      <c r="AC82" s="81" t="str">
        <f>TEXT('MYP Assumptions'!J72,"0.00%")&amp;", CPI"</f>
        <v>2.73%, CPI</v>
      </c>
    </row>
    <row r="83" spans="1:29" x14ac:dyDescent="0.25">
      <c r="A83" s="153"/>
      <c r="B83" s="1326">
        <v>5814</v>
      </c>
      <c r="C83" s="1243" t="s">
        <v>4</v>
      </c>
      <c r="D83" s="2">
        <v>7500</v>
      </c>
      <c r="E83" s="1249"/>
      <c r="F83" s="2"/>
      <c r="G83" s="1527">
        <f t="shared" si="55"/>
        <v>1.1333333333333333</v>
      </c>
      <c r="H83" s="2">
        <v>16000</v>
      </c>
      <c r="I83" s="1240"/>
      <c r="J83" s="66"/>
      <c r="K83" s="1527">
        <f t="shared" si="45"/>
        <v>-0.5</v>
      </c>
      <c r="L83" s="2">
        <v>8000</v>
      </c>
      <c r="M83" s="1240"/>
      <c r="O83" s="1527">
        <f t="shared" si="46"/>
        <v>0</v>
      </c>
      <c r="P83" s="2">
        <f t="shared" si="51"/>
        <v>8000</v>
      </c>
      <c r="Q83" s="1240"/>
      <c r="S83" s="83">
        <f t="shared" si="47"/>
        <v>2.725E-2</v>
      </c>
      <c r="T83" s="2">
        <f t="shared" si="52"/>
        <v>8218</v>
      </c>
      <c r="U83" s="81" t="str">
        <f>TEXT('MYP Assumptions'!H72,"0.00%")&amp;", CPI"</f>
        <v>2.73%, CPI</v>
      </c>
      <c r="W83" s="83">
        <f t="shared" si="48"/>
        <v>2.7257240204429302E-2</v>
      </c>
      <c r="X83" s="2">
        <f t="shared" si="53"/>
        <v>8442</v>
      </c>
      <c r="Y83" s="81" t="str">
        <f>TEXT('MYP Assumptions'!I72,"0.00%")&amp;", CPI"</f>
        <v>2.73%, CPI</v>
      </c>
      <c r="AA83" s="83">
        <f t="shared" si="49"/>
        <v>2.724472873726605E-2</v>
      </c>
      <c r="AB83" s="2">
        <f t="shared" si="54"/>
        <v>8672</v>
      </c>
      <c r="AC83" s="81" t="str">
        <f>TEXT('MYP Assumptions'!J72,"0.00%")&amp;", CPI"</f>
        <v>2.73%, CPI</v>
      </c>
    </row>
    <row r="84" spans="1:29" x14ac:dyDescent="0.25">
      <c r="A84" s="153"/>
      <c r="B84" s="1326">
        <v>5817</v>
      </c>
      <c r="C84" s="1243" t="s">
        <v>269</v>
      </c>
      <c r="D84" s="2">
        <v>2000</v>
      </c>
      <c r="E84" s="1249"/>
      <c r="F84" s="2"/>
      <c r="G84" s="1527">
        <f t="shared" si="55"/>
        <v>-0.25</v>
      </c>
      <c r="H84" s="2">
        <v>1500</v>
      </c>
      <c r="I84" s="1240"/>
      <c r="J84" s="66"/>
      <c r="K84" s="1527">
        <f t="shared" si="45"/>
        <v>-0.33333333333333331</v>
      </c>
      <c r="L84" s="2">
        <v>1000</v>
      </c>
      <c r="M84" s="1240"/>
      <c r="O84" s="1527">
        <f t="shared" si="46"/>
        <v>0</v>
      </c>
      <c r="P84" s="2">
        <f t="shared" si="51"/>
        <v>1000</v>
      </c>
      <c r="Q84" s="1240"/>
      <c r="S84" s="83">
        <f t="shared" si="47"/>
        <v>2.7E-2</v>
      </c>
      <c r="T84" s="2">
        <f t="shared" si="52"/>
        <v>1027</v>
      </c>
      <c r="U84" s="81" t="str">
        <f>TEXT('MYP Assumptions'!H72,"0.00%")&amp;", CPI"</f>
        <v>2.73%, CPI</v>
      </c>
      <c r="W84" s="83">
        <f t="shared" si="48"/>
        <v>2.7263875365141188E-2</v>
      </c>
      <c r="X84" s="2">
        <f t="shared" si="53"/>
        <v>1055</v>
      </c>
      <c r="Y84" s="81" t="str">
        <f>TEXT('MYP Assumptions'!I72,"0.00%")&amp;", CPI"</f>
        <v>2.73%, CPI</v>
      </c>
      <c r="AA84" s="83">
        <f t="shared" si="49"/>
        <v>2.7488151658767772E-2</v>
      </c>
      <c r="AB84" s="2">
        <f t="shared" si="54"/>
        <v>1084</v>
      </c>
      <c r="AC84" s="81" t="str">
        <f>TEXT('MYP Assumptions'!J72,"0.00%")&amp;", CPI"</f>
        <v>2.73%, CPI</v>
      </c>
    </row>
    <row r="85" spans="1:29" x14ac:dyDescent="0.25">
      <c r="A85" s="153"/>
      <c r="B85" s="1326">
        <v>5845</v>
      </c>
      <c r="C85" s="1243" t="s">
        <v>449</v>
      </c>
      <c r="D85" s="2">
        <v>1500</v>
      </c>
      <c r="E85" s="1249"/>
      <c r="F85" s="2"/>
      <c r="G85" s="1527">
        <f t="shared" si="55"/>
        <v>0.33333333333333331</v>
      </c>
      <c r="H85" s="2">
        <v>2000</v>
      </c>
      <c r="I85" s="1240"/>
      <c r="J85" s="66"/>
      <c r="K85" s="1527">
        <f t="shared" si="45"/>
        <v>-0.5</v>
      </c>
      <c r="L85" s="2">
        <v>1000</v>
      </c>
      <c r="M85" s="1240"/>
      <c r="O85" s="1527">
        <f t="shared" si="46"/>
        <v>0</v>
      </c>
      <c r="P85" s="2">
        <f t="shared" si="51"/>
        <v>1000</v>
      </c>
      <c r="Q85" s="1240"/>
      <c r="S85" s="83">
        <f t="shared" si="47"/>
        <v>2.7E-2</v>
      </c>
      <c r="T85" s="2">
        <f t="shared" si="52"/>
        <v>1027</v>
      </c>
      <c r="U85" s="81" t="str">
        <f>TEXT('MYP Assumptions'!H72,"0.00%")&amp;", CPI"</f>
        <v>2.73%, CPI</v>
      </c>
      <c r="W85" s="83">
        <f t="shared" si="48"/>
        <v>2.7263875365141188E-2</v>
      </c>
      <c r="X85" s="2">
        <f t="shared" si="53"/>
        <v>1055</v>
      </c>
      <c r="Y85" s="81" t="str">
        <f>TEXT('MYP Assumptions'!I72,"0.00%")&amp;", CPI"</f>
        <v>2.73%, CPI</v>
      </c>
      <c r="AA85" s="83">
        <f t="shared" si="49"/>
        <v>2.7488151658767772E-2</v>
      </c>
      <c r="AB85" s="2">
        <f t="shared" si="54"/>
        <v>1084</v>
      </c>
      <c r="AC85" s="81" t="str">
        <f>TEXT('MYP Assumptions'!J72,"0.00%")&amp;", CPI"</f>
        <v>2.73%, CPI</v>
      </c>
    </row>
    <row r="86" spans="1:29" x14ac:dyDescent="0.25">
      <c r="A86" s="153"/>
      <c r="B86" s="1326">
        <v>5908</v>
      </c>
      <c r="C86" s="1243" t="s">
        <v>341</v>
      </c>
      <c r="D86" s="2">
        <v>150</v>
      </c>
      <c r="E86" s="1249"/>
      <c r="F86" s="2"/>
      <c r="G86" s="1527">
        <f t="shared" si="55"/>
        <v>0</v>
      </c>
      <c r="H86" s="2">
        <v>150</v>
      </c>
      <c r="I86" s="1240"/>
      <c r="J86" s="66"/>
      <c r="K86" s="1527">
        <f t="shared" si="45"/>
        <v>0</v>
      </c>
      <c r="L86" s="2">
        <f>+H86</f>
        <v>150</v>
      </c>
      <c r="M86" s="1240"/>
      <c r="O86" s="1527">
        <f t="shared" si="46"/>
        <v>0</v>
      </c>
      <c r="P86" s="2">
        <f t="shared" si="51"/>
        <v>150</v>
      </c>
      <c r="Q86" s="1240"/>
      <c r="S86" s="83"/>
      <c r="T86" s="2"/>
      <c r="U86" s="81"/>
      <c r="W86" s="83"/>
      <c r="X86" s="2"/>
      <c r="Y86" s="81"/>
      <c r="AA86" s="83"/>
      <c r="AB86" s="2"/>
      <c r="AC86" s="81"/>
    </row>
    <row r="87" spans="1:29" hidden="1" x14ac:dyDescent="0.25">
      <c r="A87" s="153"/>
      <c r="B87" s="1326"/>
      <c r="E87" s="1249"/>
      <c r="F87" s="2"/>
      <c r="G87" s="1527" t="str">
        <f t="shared" si="55"/>
        <v>0.00%</v>
      </c>
      <c r="H87" s="2">
        <f t="shared" ref="H87:H88" si="56">ROUND(D87*(LEFT(I87,5)+1),0)</f>
        <v>0</v>
      </c>
      <c r="I87" s="1240" t="str">
        <f>TEXT('MYP Assumptions'!$E$72,"0.00%")&amp;", CPI"</f>
        <v>3.11%, CPI</v>
      </c>
      <c r="J87" s="66"/>
      <c r="K87" s="1527" t="str">
        <f t="shared" si="45"/>
        <v>0.00%</v>
      </c>
      <c r="L87" s="2">
        <f t="shared" ref="L87" si="57">ROUND(H87*(LEFT(M87,5)+1),0)</f>
        <v>0</v>
      </c>
      <c r="M87" s="1240" t="str">
        <f>TEXT('MYP Assumptions'!$F$72,"0.00%")&amp;", CPI"</f>
        <v>3.19%, CPI</v>
      </c>
      <c r="O87" s="1527" t="str">
        <f t="shared" si="46"/>
        <v>0.00%</v>
      </c>
      <c r="P87" s="2">
        <f t="shared" ref="P87" si="58">ROUND(L87*(LEFT(Q87,5)+1),0)</f>
        <v>0</v>
      </c>
      <c r="Q87" s="1240" t="str">
        <f>TEXT('MYP Assumptions'!$G$72,"0.00%")&amp;", CPI"</f>
        <v>2.86%, CPI</v>
      </c>
      <c r="S87" s="83"/>
      <c r="T87" s="2"/>
      <c r="U87" s="81"/>
      <c r="W87" s="83"/>
      <c r="X87" s="2"/>
      <c r="Y87" s="81"/>
      <c r="AA87" s="83"/>
      <c r="AB87" s="2"/>
      <c r="AC87" s="81"/>
    </row>
    <row r="88" spans="1:29" hidden="1" x14ac:dyDescent="0.25">
      <c r="A88" s="153"/>
      <c r="B88" s="1326"/>
      <c r="D88" s="2">
        <f>'RS 3010-ALL'!AF80</f>
        <v>0</v>
      </c>
      <c r="E88" s="1249"/>
      <c r="F88" s="2"/>
      <c r="G88" s="1527" t="str">
        <f t="shared" si="55"/>
        <v>0.00%</v>
      </c>
      <c r="H88" s="2">
        <f t="shared" si="56"/>
        <v>0</v>
      </c>
      <c r="I88" s="1240" t="str">
        <f>TEXT('MYP Assumptions'!$E$72,"0.00%")&amp;", CPI"</f>
        <v>3.11%, CPI</v>
      </c>
      <c r="J88" s="66"/>
      <c r="K88" s="1527" t="str">
        <f t="shared" si="45"/>
        <v>0.00%</v>
      </c>
      <c r="L88" s="2">
        <f>ROUND(H88*(LEFT(M88,5)+1),0)</f>
        <v>0</v>
      </c>
      <c r="M88" s="1240" t="str">
        <f>TEXT('MYP Assumptions'!$F$72,"0.00%")&amp;", CPI"</f>
        <v>3.19%, CPI</v>
      </c>
      <c r="O88" s="1527" t="str">
        <f t="shared" si="46"/>
        <v>0.00%</v>
      </c>
      <c r="P88" s="2">
        <f>ROUND(L88*(LEFT(Q88,5)+1),0)</f>
        <v>0</v>
      </c>
      <c r="Q88" s="1240" t="str">
        <f>TEXT('MYP Assumptions'!$G$72,"0.00%")&amp;", CPI"</f>
        <v>2.86%, CPI</v>
      </c>
      <c r="S88" s="83" t="str">
        <f t="shared" si="47"/>
        <v>0.00%</v>
      </c>
      <c r="T88" s="2">
        <f t="shared" si="52"/>
        <v>0</v>
      </c>
      <c r="U88" s="81" t="str">
        <f>TEXT('MYP Assumptions'!H72,"0.00%")&amp;", CPI"</f>
        <v>2.73%, CPI</v>
      </c>
      <c r="W88" s="83" t="str">
        <f t="shared" si="48"/>
        <v>0.00%</v>
      </c>
      <c r="X88" s="2">
        <f t="shared" si="53"/>
        <v>0</v>
      </c>
      <c r="Y88" s="81" t="str">
        <f>TEXT('MYP Assumptions'!I72,"0.00%")&amp;", CPI"</f>
        <v>2.73%, CPI</v>
      </c>
      <c r="AA88" s="83" t="str">
        <f t="shared" si="49"/>
        <v>0.00%</v>
      </c>
      <c r="AB88" s="2">
        <f t="shared" si="54"/>
        <v>0</v>
      </c>
      <c r="AC88" s="81" t="str">
        <f>TEXT('MYP Assumptions'!J72,"0.00%")&amp;", CPI"</f>
        <v>2.73%, CPI</v>
      </c>
    </row>
    <row r="89" spans="1:29" x14ac:dyDescent="0.25">
      <c r="A89" s="154"/>
      <c r="D89" s="8">
        <f>SUM(D74:D88)</f>
        <v>-31089</v>
      </c>
      <c r="E89" s="1249"/>
      <c r="F89" s="2"/>
      <c r="G89" s="1527">
        <f t="shared" si="55"/>
        <v>-2.8691820257969056E-2</v>
      </c>
      <c r="H89" s="8">
        <f>SUM(H74:H88)</f>
        <v>-30197</v>
      </c>
      <c r="I89" s="1882">
        <f>+H89-D89</f>
        <v>892</v>
      </c>
      <c r="J89" s="29"/>
      <c r="K89" s="1527">
        <f t="shared" si="45"/>
        <v>0.70821604795178328</v>
      </c>
      <c r="L89" s="8">
        <f>SUM(L74:L88)</f>
        <v>-51583</v>
      </c>
      <c r="M89" s="1882">
        <f>+L89-H89</f>
        <v>-21386</v>
      </c>
      <c r="O89" s="1527">
        <f t="shared" si="46"/>
        <v>0</v>
      </c>
      <c r="P89" s="8">
        <f>SUM(P74:P88)</f>
        <v>-51583</v>
      </c>
      <c r="Q89" s="1882">
        <f>+P89-L89</f>
        <v>0</v>
      </c>
      <c r="S89" s="83">
        <f t="shared" si="47"/>
        <v>3.032006668863773E-2</v>
      </c>
      <c r="T89" s="8">
        <f>SUM(T74:T88)</f>
        <v>-53147</v>
      </c>
      <c r="U89" s="73"/>
      <c r="W89" s="83">
        <f t="shared" si="48"/>
        <v>2.7320450825070088E-2</v>
      </c>
      <c r="X89" s="8">
        <f>SUM(X74:X88)</f>
        <v>-54599</v>
      </c>
      <c r="Y89" s="73"/>
      <c r="AA89" s="83">
        <f t="shared" si="49"/>
        <v>2.7308192457737322E-2</v>
      </c>
      <c r="AB89" s="8">
        <f>SUM(AB74:AB88)</f>
        <v>-56090</v>
      </c>
      <c r="AC89" s="73"/>
    </row>
    <row r="90" spans="1:29" x14ac:dyDescent="0.25">
      <c r="A90" s="153"/>
      <c r="B90" s="1323"/>
      <c r="E90" s="1249"/>
      <c r="F90" s="2"/>
      <c r="G90" s="1527"/>
      <c r="H90" s="2"/>
      <c r="I90" s="1257"/>
      <c r="J90" s="66"/>
      <c r="L90" s="2"/>
      <c r="M90" s="1335"/>
      <c r="Q90" s="1335"/>
      <c r="T90" s="2"/>
      <c r="U90" s="73"/>
      <c r="X90" s="2"/>
      <c r="Y90" s="73"/>
      <c r="AB90" s="2"/>
      <c r="AC90" s="73"/>
    </row>
    <row r="91" spans="1:29" x14ac:dyDescent="0.25">
      <c r="A91" s="153"/>
      <c r="E91" s="1249"/>
      <c r="F91" s="2"/>
      <c r="H91" s="2"/>
      <c r="I91" s="1257"/>
      <c r="J91" s="66"/>
      <c r="L91" s="2"/>
      <c r="M91" s="1335"/>
      <c r="Q91" s="1335"/>
      <c r="T91" s="2"/>
      <c r="U91" s="73"/>
      <c r="X91" s="2"/>
      <c r="Y91" s="73"/>
      <c r="AB91" s="2"/>
      <c r="AC91" s="73"/>
    </row>
    <row r="92" spans="1:29" x14ac:dyDescent="0.25">
      <c r="A92" s="154"/>
      <c r="B92" s="1323" t="s">
        <v>0</v>
      </c>
      <c r="D92" s="8">
        <f>SUM(D89,D71,D57,D13)</f>
        <v>923557</v>
      </c>
      <c r="E92" s="1249"/>
      <c r="F92" s="2"/>
      <c r="G92" s="1527">
        <f>IF(D92=0,"0.00%",(H92-D92)/D92)</f>
        <v>4.7484887234897251E-2</v>
      </c>
      <c r="H92" s="8">
        <f>SUM(H89,H71,H57,H13)</f>
        <v>967412</v>
      </c>
      <c r="I92" s="1882">
        <f>+H92-D92</f>
        <v>43855</v>
      </c>
      <c r="J92" s="29"/>
      <c r="K92" s="1527">
        <f>IF(H92=0,"0.00%",(L92-H92)/H92)</f>
        <v>9.6132774867378117E-4</v>
      </c>
      <c r="L92" s="8">
        <f>SUM(L89,L71,L57,L13)</f>
        <v>968342</v>
      </c>
      <c r="M92" s="1882">
        <f>+L92-H92</f>
        <v>930</v>
      </c>
      <c r="O92" s="1527">
        <f>IF(L92=0,"0.00%",(P92-L92)/L92)</f>
        <v>3.5166294552957528E-2</v>
      </c>
      <c r="P92" s="8">
        <f>SUM(P89,P71,P57,P13)</f>
        <v>1002395</v>
      </c>
      <c r="Q92" s="1882">
        <f>+P92-L92</f>
        <v>34053</v>
      </c>
      <c r="S92" s="83">
        <f>IF(P92=0,"0.00%",(T92-P92)/P92)</f>
        <v>3.464302994328583E-2</v>
      </c>
      <c r="T92" s="8">
        <f>SUM(T89,T71,T57,T13)</f>
        <v>1037121</v>
      </c>
      <c r="U92" s="73"/>
      <c r="W92" s="83">
        <f>IF(T92=0,"0.00%",(X92-T92)/T92)</f>
        <v>3.3261307022035037E-2</v>
      </c>
      <c r="X92" s="8">
        <f>SUM(X89,X71,X57,X13)</f>
        <v>1071617</v>
      </c>
      <c r="Y92" s="73"/>
      <c r="AA92" s="83">
        <f>IF(X92=0,"0.00%",(AB92-X92)/X92)</f>
        <v>3.0084442482715374E-2</v>
      </c>
      <c r="AB92" s="8">
        <f>SUM(AB89,AB71,AB57,AB13)</f>
        <v>1103856</v>
      </c>
      <c r="AC92" s="73"/>
    </row>
    <row r="93" spans="1:29" x14ac:dyDescent="0.25">
      <c r="A93" s="153"/>
      <c r="E93" s="1249"/>
      <c r="F93" s="2"/>
      <c r="H93" s="2"/>
      <c r="I93" s="1257"/>
      <c r="J93" s="66"/>
      <c r="L93" s="2"/>
      <c r="M93" s="1335"/>
      <c r="Q93" s="1335"/>
      <c r="T93" s="2"/>
      <c r="U93" s="73"/>
      <c r="X93" s="2"/>
      <c r="Y93" s="73"/>
      <c r="AB93" s="2"/>
      <c r="AC93" s="73"/>
    </row>
    <row r="94" spans="1:29" x14ac:dyDescent="0.25">
      <c r="A94" s="153"/>
      <c r="B94" s="1323" t="s">
        <v>138</v>
      </c>
      <c r="D94" s="3">
        <f>D11-D92</f>
        <v>6308.8000000000466</v>
      </c>
      <c r="G94" s="1527">
        <f>IF(D94=0,"0.00%",(H94-D94)/D94)</f>
        <v>-2.3321075323357752</v>
      </c>
      <c r="H94" s="3">
        <f>H11-H92</f>
        <v>-8404</v>
      </c>
      <c r="I94" s="1257"/>
      <c r="J94" s="66"/>
      <c r="K94" s="1527">
        <f>IF(H94=0,"0.00%",(L94-H94)/H94)</f>
        <v>-1.4717991432651119</v>
      </c>
      <c r="L94" s="3">
        <f>L11-L92</f>
        <v>3965</v>
      </c>
      <c r="M94" s="1335"/>
      <c r="O94" s="1527">
        <f>IF(L94=0,"0.00%",(P94-L94)/L94)</f>
        <v>1.0774274905422447</v>
      </c>
      <c r="P94" s="3">
        <f>P11-P92</f>
        <v>8237</v>
      </c>
      <c r="Q94" s="1335"/>
      <c r="S94" s="83">
        <f>IF(P94=0,"0.00%",(T94-P94)/P94)</f>
        <v>-126.91004006312978</v>
      </c>
      <c r="T94" s="3">
        <f>T11-T92</f>
        <v>-1037121</v>
      </c>
      <c r="U94" s="73"/>
      <c r="W94" s="83">
        <f>IF(T94=0,"0.00%",(X94-T94)/T94)</f>
        <v>3.3261307022035037E-2</v>
      </c>
      <c r="X94" s="3">
        <f>X11-X92</f>
        <v>-1071617</v>
      </c>
      <c r="Y94" s="73"/>
      <c r="AA94" s="83">
        <f>IF(X94=0,"0.00%",(AB94-X94)/X94)</f>
        <v>3.0084442482715374E-2</v>
      </c>
      <c r="AB94" s="3">
        <f>AB11-AB92</f>
        <v>-1103856</v>
      </c>
      <c r="AC94" s="73"/>
    </row>
    <row r="95" spans="1:29" x14ac:dyDescent="0.25">
      <c r="B95" s="1323"/>
      <c r="C95" s="1317"/>
      <c r="D95" s="3"/>
      <c r="H95" s="3"/>
      <c r="I95" s="1257"/>
      <c r="J95" s="66"/>
      <c r="L95" s="3"/>
      <c r="M95" s="1335"/>
      <c r="P95" s="3"/>
      <c r="Q95" s="1335"/>
      <c r="T95" s="44"/>
      <c r="U95" s="73"/>
      <c r="X95" s="44"/>
      <c r="Y95" s="73"/>
      <c r="AB95" s="44"/>
      <c r="AC95" s="73"/>
    </row>
    <row r="96" spans="1:29" x14ac:dyDescent="0.25">
      <c r="B96" s="1323" t="s">
        <v>136</v>
      </c>
      <c r="C96" s="1319"/>
      <c r="D96" s="3">
        <f>D7+D94</f>
        <v>8404.0000000000473</v>
      </c>
      <c r="G96" s="1527">
        <f>IF(D96=0,"0.00%",(H96-D96)/D96)</f>
        <v>-0.99999999999999434</v>
      </c>
      <c r="H96" s="3">
        <f>H7+H94</f>
        <v>4.7293724492192268E-11</v>
      </c>
      <c r="I96" s="1882">
        <f>+H96-D96</f>
        <v>-8404</v>
      </c>
      <c r="J96" s="66"/>
      <c r="K96" s="1527"/>
      <c r="L96" s="3">
        <f>L7+L94</f>
        <v>3965.0000000000473</v>
      </c>
      <c r="M96" s="1882">
        <f>+L96-H96</f>
        <v>3965</v>
      </c>
      <c r="O96" s="1527">
        <f>IF(L96=0,"0.00%",(P96-L96)/L96)</f>
        <v>2.0774274905422199</v>
      </c>
      <c r="P96" s="3">
        <f>P7+P94</f>
        <v>12202.000000000047</v>
      </c>
      <c r="Q96" s="1882">
        <f>+P96-L96</f>
        <v>8237</v>
      </c>
      <c r="S96" s="83">
        <f>IF(P96=0,"0.00%",(T96-P96)/P96)</f>
        <v>-84.995984264874281</v>
      </c>
      <c r="T96" s="49">
        <f>T7+T94</f>
        <v>-1024919</v>
      </c>
      <c r="U96" s="73"/>
      <c r="W96" s="83">
        <f>IF(T96=0,"0.00%",(X96-T96)/T96)</f>
        <v>1.0455626249488985</v>
      </c>
      <c r="X96" s="49">
        <f>X7+X94</f>
        <v>-2096536</v>
      </c>
      <c r="Y96" s="73"/>
      <c r="AA96" s="83">
        <f>IF(X96=0,"0.00%",(AB96-X96)/X96)</f>
        <v>0.52651421201448489</v>
      </c>
      <c r="AB96" s="49">
        <f>AB7+AB94</f>
        <v>-3200392</v>
      </c>
      <c r="AC96" s="73"/>
    </row>
    <row r="97" spans="1:29" x14ac:dyDescent="0.25">
      <c r="C97" s="1259"/>
      <c r="G97" s="1540"/>
      <c r="H97" s="5"/>
      <c r="I97" s="1258"/>
      <c r="J97" s="29"/>
      <c r="L97" s="5"/>
      <c r="M97" s="1335"/>
      <c r="P97" s="5"/>
      <c r="Q97" s="1335"/>
      <c r="T97" s="5"/>
      <c r="U97" s="73"/>
      <c r="X97" s="5"/>
      <c r="Y97" s="73"/>
      <c r="AB97" s="5"/>
      <c r="AC97" s="73"/>
    </row>
    <row r="98" spans="1:29" x14ac:dyDescent="0.25">
      <c r="C98" s="1254"/>
      <c r="G98" s="1540"/>
      <c r="H98" s="36"/>
      <c r="I98" s="1257"/>
      <c r="J98" s="66"/>
      <c r="L98" s="2"/>
      <c r="M98" s="1335"/>
      <c r="Q98" s="1335"/>
      <c r="T98" s="2"/>
      <c r="U98" s="73"/>
      <c r="X98" s="2"/>
      <c r="Y98" s="73"/>
      <c r="AB98" s="2"/>
      <c r="AC98" s="73"/>
    </row>
    <row r="99" spans="1:29" x14ac:dyDescent="0.25">
      <c r="C99" s="1254"/>
      <c r="G99" s="1540"/>
      <c r="H99" s="36"/>
      <c r="I99" s="1257"/>
      <c r="J99" s="66"/>
      <c r="L99" s="2"/>
      <c r="M99" s="1335"/>
      <c r="Q99" s="1335"/>
      <c r="T99" s="2"/>
      <c r="U99" s="73"/>
      <c r="X99" s="2"/>
      <c r="Y99" s="73"/>
      <c r="AB99" s="2"/>
      <c r="AC99" s="73"/>
    </row>
    <row r="100" spans="1:29" x14ac:dyDescent="0.25">
      <c r="C100" s="1254"/>
      <c r="G100" s="1540"/>
      <c r="H100" s="36"/>
      <c r="I100" s="1257"/>
      <c r="J100" s="66"/>
      <c r="L100" s="2"/>
      <c r="M100" s="1335"/>
      <c r="Q100" s="1335"/>
      <c r="T100" s="2"/>
      <c r="U100" s="73"/>
      <c r="X100" s="2"/>
      <c r="Y100" s="73"/>
      <c r="AB100" s="2"/>
      <c r="AC100" s="73"/>
    </row>
    <row r="101" spans="1:29" x14ac:dyDescent="0.25">
      <c r="C101" s="1254"/>
      <c r="G101" s="1540"/>
      <c r="H101" s="36"/>
      <c r="I101" s="1257"/>
      <c r="J101" s="66"/>
      <c r="L101" s="2"/>
      <c r="M101" s="1335"/>
      <c r="Q101" s="1335"/>
      <c r="T101" s="2"/>
      <c r="U101" s="73"/>
      <c r="X101" s="2"/>
      <c r="Y101" s="73"/>
      <c r="AB101" s="2"/>
      <c r="AC101" s="73"/>
    </row>
    <row r="102" spans="1:29" s="138" customFormat="1" ht="11.25" x14ac:dyDescent="0.2">
      <c r="A102" s="157"/>
      <c r="B102" s="1329"/>
      <c r="C102" s="1330" t="s">
        <v>226</v>
      </c>
      <c r="D102" s="135">
        <f>+D89+D71+D55+D43+D32</f>
        <v>923557</v>
      </c>
      <c r="E102" s="1251"/>
      <c r="G102" s="1541" t="s">
        <v>226</v>
      </c>
      <c r="H102" s="135">
        <f>+H89+H71+H55+H43+H32</f>
        <v>967412</v>
      </c>
      <c r="I102" s="1260"/>
      <c r="J102" s="136"/>
      <c r="K102" s="1541" t="s">
        <v>226</v>
      </c>
      <c r="L102" s="135">
        <f>+L89+L71+L55+L43+L32</f>
        <v>968342</v>
      </c>
      <c r="M102" s="1338"/>
      <c r="O102" s="1541" t="s">
        <v>226</v>
      </c>
      <c r="P102" s="135">
        <f>+P89+P71+P55+P43+P32</f>
        <v>1002395</v>
      </c>
      <c r="Q102" s="1338"/>
      <c r="R102" s="140"/>
      <c r="S102" s="134" t="s">
        <v>226</v>
      </c>
      <c r="T102" s="135">
        <f>+T89+T71+T55+T43+T32</f>
        <v>1037121</v>
      </c>
      <c r="U102" s="139"/>
      <c r="W102" s="134" t="s">
        <v>226</v>
      </c>
      <c r="X102" s="135">
        <f>+X89+X71+X55+X43+X32</f>
        <v>1071617</v>
      </c>
      <c r="Y102" s="139"/>
      <c r="AA102" s="134" t="s">
        <v>226</v>
      </c>
      <c r="AB102" s="135">
        <f>+AB89+AB71+AB55+AB43+AB32</f>
        <v>1103856</v>
      </c>
      <c r="AC102" s="139"/>
    </row>
    <row r="103" spans="1:29" s="138" customFormat="1" ht="11.25" x14ac:dyDescent="0.2">
      <c r="A103" s="159"/>
      <c r="B103" s="1329"/>
      <c r="C103" s="1331" t="s">
        <v>227</v>
      </c>
      <c r="D103" s="143">
        <f>+D13</f>
        <v>0</v>
      </c>
      <c r="E103" s="1252"/>
      <c r="F103" s="145"/>
      <c r="G103" s="1546" t="s">
        <v>227</v>
      </c>
      <c r="H103" s="143">
        <f>+H13</f>
        <v>0</v>
      </c>
      <c r="I103" s="1261"/>
      <c r="J103" s="144"/>
      <c r="K103" s="1546" t="s">
        <v>227</v>
      </c>
      <c r="L103" s="143">
        <f>+L13</f>
        <v>0</v>
      </c>
      <c r="M103" s="1338"/>
      <c r="O103" s="1546" t="s">
        <v>227</v>
      </c>
      <c r="P103" s="143">
        <f>+P13</f>
        <v>0</v>
      </c>
      <c r="Q103" s="1251"/>
      <c r="R103" s="140"/>
      <c r="S103" s="142" t="s">
        <v>227</v>
      </c>
      <c r="T103" s="143">
        <f>+T13</f>
        <v>0</v>
      </c>
      <c r="W103" s="142" t="s">
        <v>227</v>
      </c>
      <c r="X103" s="143">
        <f>+X13</f>
        <v>0</v>
      </c>
      <c r="AA103" s="142" t="s">
        <v>227</v>
      </c>
      <c r="AB103" s="143">
        <f>+AB13</f>
        <v>0</v>
      </c>
    </row>
    <row r="104" spans="1:29" s="138" customFormat="1" ht="11.25" x14ac:dyDescent="0.2">
      <c r="A104" s="159"/>
      <c r="B104" s="1329"/>
      <c r="C104" s="1331"/>
      <c r="D104" s="146">
        <f>+D102+D103</f>
        <v>923557</v>
      </c>
      <c r="E104" s="1252"/>
      <c r="F104" s="145"/>
      <c r="G104" s="1546"/>
      <c r="H104" s="146">
        <f>+H102+H103</f>
        <v>967412</v>
      </c>
      <c r="I104" s="1261"/>
      <c r="J104" s="144"/>
      <c r="K104" s="1546"/>
      <c r="L104" s="146">
        <f>+L102+L103</f>
        <v>968342</v>
      </c>
      <c r="M104" s="1251"/>
      <c r="O104" s="1546"/>
      <c r="P104" s="146">
        <f>+P102+P103</f>
        <v>1002395</v>
      </c>
      <c r="Q104" s="1251"/>
      <c r="R104" s="140"/>
      <c r="S104" s="142"/>
      <c r="T104" s="146">
        <f>+T102+T103</f>
        <v>1037121</v>
      </c>
      <c r="W104" s="142"/>
      <c r="X104" s="146">
        <f>+X102+X103</f>
        <v>1071617</v>
      </c>
      <c r="AA104" s="142"/>
      <c r="AB104" s="146">
        <f>+AB102+AB103</f>
        <v>1103856</v>
      </c>
    </row>
    <row r="105" spans="1:29" ht="15" customHeight="1" x14ac:dyDescent="0.25">
      <c r="A105" s="153"/>
      <c r="B105" s="1332"/>
      <c r="C105" s="1332"/>
      <c r="D105" s="5">
        <f>+D92-D104</f>
        <v>0</v>
      </c>
      <c r="E105" s="1249"/>
      <c r="F105" s="2"/>
      <c r="G105" s="1543"/>
      <c r="H105" s="5">
        <f>+H92-H104</f>
        <v>0</v>
      </c>
      <c r="K105" s="1543"/>
      <c r="L105" s="5">
        <f>+L92-L104</f>
        <v>0</v>
      </c>
      <c r="O105" s="1543"/>
      <c r="P105" s="5">
        <f>+P92-P104</f>
        <v>0</v>
      </c>
      <c r="S105" s="103"/>
      <c r="T105" s="5">
        <f>+T92-T104</f>
        <v>0</v>
      </c>
      <c r="W105" s="103"/>
      <c r="X105" s="5">
        <f>+X92-X104</f>
        <v>0</v>
      </c>
      <c r="AA105" s="103"/>
      <c r="AB105" s="5">
        <f>+AB92-AB104</f>
        <v>0</v>
      </c>
    </row>
    <row r="106" spans="1:29" x14ac:dyDescent="0.25">
      <c r="A106" s="153"/>
      <c r="B106" s="1332"/>
      <c r="C106" s="1332"/>
      <c r="D106" s="36"/>
      <c r="E106" s="1249"/>
      <c r="F106" s="2"/>
    </row>
    <row r="107" spans="1:29" x14ac:dyDescent="0.25">
      <c r="A107" s="153"/>
      <c r="B107" s="1319"/>
      <c r="C107" s="1254"/>
      <c r="D107" s="25"/>
      <c r="E107" s="1249"/>
      <c r="F107" s="2"/>
    </row>
    <row r="108" spans="1:29" x14ac:dyDescent="0.25">
      <c r="B108" s="1319"/>
      <c r="C108" s="1254"/>
      <c r="D108" s="36"/>
    </row>
    <row r="109" spans="1:29" x14ac:dyDescent="0.25">
      <c r="B109" s="1319"/>
      <c r="C109" s="1254"/>
      <c r="D109" s="36"/>
    </row>
    <row r="110" spans="1:29" ht="15" customHeight="1" x14ac:dyDescent="0.25">
      <c r="B110" s="1319"/>
      <c r="C110" s="1254"/>
      <c r="D110" s="36"/>
    </row>
    <row r="111" spans="1:29" x14ac:dyDescent="0.25">
      <c r="B111" s="1319"/>
      <c r="C111" s="1254"/>
      <c r="D111" s="36"/>
    </row>
    <row r="112" spans="1:29" x14ac:dyDescent="0.25">
      <c r="B112" s="1319"/>
      <c r="C112" s="1254"/>
      <c r="D112" s="36"/>
    </row>
    <row r="113" spans="2:4" ht="15" customHeight="1" x14ac:dyDescent="0.25">
      <c r="B113" s="2151"/>
      <c r="C113" s="2151"/>
      <c r="D113" s="36"/>
    </row>
    <row r="114" spans="2:4" x14ac:dyDescent="0.25">
      <c r="B114" s="2151"/>
      <c r="C114" s="2151"/>
      <c r="D114" s="36"/>
    </row>
    <row r="115" spans="2:4" x14ac:dyDescent="0.25">
      <c r="B115" s="1319"/>
      <c r="C115" s="1254"/>
      <c r="D115" s="6"/>
    </row>
    <row r="116" spans="2:4" x14ac:dyDescent="0.25">
      <c r="B116" s="1319"/>
      <c r="C116" s="1254"/>
      <c r="D116" s="36"/>
    </row>
    <row r="117" spans="2:4" x14ac:dyDescent="0.25">
      <c r="B117" s="1319"/>
      <c r="C117" s="1254"/>
      <c r="D117" s="36"/>
    </row>
    <row r="118" spans="2:4" ht="28.5" customHeight="1" x14ac:dyDescent="0.25">
      <c r="B118" s="1319"/>
      <c r="C118" s="1254"/>
      <c r="D118" s="25"/>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row r="127" spans="2:4" x14ac:dyDescent="0.25">
      <c r="B127" s="1319"/>
      <c r="C127" s="1254"/>
      <c r="D127" s="36"/>
    </row>
    <row r="128" spans="2:4" x14ac:dyDescent="0.25">
      <c r="B128" s="1319"/>
      <c r="C128" s="1254"/>
      <c r="D128" s="36"/>
    </row>
    <row r="129" spans="2:4" x14ac:dyDescent="0.25">
      <c r="B129" s="1319"/>
      <c r="C129" s="1254"/>
      <c r="D129" s="36"/>
    </row>
    <row r="130" spans="2:4" x14ac:dyDescent="0.25">
      <c r="B130" s="1319"/>
      <c r="C130" s="1254"/>
      <c r="D130" s="36"/>
    </row>
    <row r="131" spans="2:4" x14ac:dyDescent="0.25">
      <c r="B131" s="1319"/>
      <c r="C131" s="1254"/>
      <c r="D131" s="36"/>
    </row>
    <row r="132" spans="2:4" x14ac:dyDescent="0.25">
      <c r="B132" s="1319"/>
      <c r="C132" s="1254"/>
      <c r="D132" s="36"/>
    </row>
    <row r="133" spans="2:4" x14ac:dyDescent="0.25">
      <c r="B133" s="1319"/>
      <c r="C133" s="1254"/>
      <c r="D133" s="36"/>
    </row>
  </sheetData>
  <mergeCells count="1">
    <mergeCell ref="B113:C114"/>
  </mergeCells>
  <pageMargins left="0.25" right="0.25" top="0.5" bottom="0.5" header="0.25" footer="0.25"/>
  <pageSetup paperSize="5" scale="70" orientation="portrait" r:id="rId1"/>
  <headerFooter>
    <oddHeader>&amp;L&amp;F</oddHead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25"/>
  <sheetViews>
    <sheetView zoomScaleNormal="100" workbookViewId="0">
      <pane xSplit="3" ySplit="6" topLeftCell="D59"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24.85546875" style="1243" customWidth="1"/>
    <col min="4" max="4" width="16" style="2" customWidth="1"/>
    <col min="5" max="5" width="17.7109375" style="1243" customWidth="1"/>
    <col min="6" max="6" width="6" style="39" customWidth="1"/>
    <col min="7" max="7" width="10.7109375" style="1399" customWidth="1"/>
    <col min="8" max="8" width="13.85546875" style="123" bestFit="1" customWidth="1"/>
    <col min="9" max="9" width="26" style="1254" customWidth="1"/>
    <col min="10" max="10" width="5.7109375" style="59" customWidth="1"/>
    <col min="11" max="11" width="10.7109375" style="1550"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6"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450</v>
      </c>
      <c r="D1" s="97">
        <v>0</v>
      </c>
      <c r="E1" s="1241"/>
      <c r="F1" s="98"/>
      <c r="G1" s="75"/>
      <c r="H1" s="99">
        <v>0</v>
      </c>
      <c r="I1" s="1241"/>
      <c r="L1" s="123">
        <v>0</v>
      </c>
      <c r="M1" s="1241"/>
      <c r="P1" s="123">
        <v>0</v>
      </c>
      <c r="Q1" s="1241"/>
      <c r="T1" s="86">
        <v>0</v>
      </c>
      <c r="U1" s="98"/>
      <c r="X1" s="86">
        <v>0</v>
      </c>
      <c r="Y1" s="98"/>
      <c r="AB1" s="86">
        <v>0</v>
      </c>
      <c r="AC1" s="98"/>
    </row>
    <row r="2" spans="1:29" ht="17.25" x14ac:dyDescent="0.4">
      <c r="B2" s="1319" t="s">
        <v>59</v>
      </c>
      <c r="C2" s="1320" t="s">
        <v>647</v>
      </c>
      <c r="D2" s="99">
        <v>0</v>
      </c>
      <c r="E2" s="1241"/>
      <c r="F2" s="98"/>
      <c r="G2" s="1534"/>
      <c r="H2" s="99">
        <v>0</v>
      </c>
      <c r="I2" s="1241"/>
      <c r="L2" s="87">
        <v>0</v>
      </c>
      <c r="M2" s="1241"/>
      <c r="P2" s="87">
        <v>0</v>
      </c>
      <c r="Q2" s="1241"/>
      <c r="T2" s="87">
        <v>0</v>
      </c>
      <c r="U2" s="98"/>
      <c r="X2" s="87">
        <v>0</v>
      </c>
      <c r="Y2" s="98"/>
      <c r="AB2" s="87">
        <v>0</v>
      </c>
      <c r="AC2" s="98"/>
    </row>
    <row r="3" spans="1:29" x14ac:dyDescent="0.25">
      <c r="D3" s="425">
        <f>+SUM(D1:D2)</f>
        <v>0</v>
      </c>
      <c r="E3" s="1242"/>
      <c r="F3" s="100"/>
      <c r="G3" s="1527"/>
      <c r="H3" s="425">
        <f>+SUM(H1:H2)</f>
        <v>0</v>
      </c>
      <c r="I3" s="1253"/>
      <c r="L3" s="123">
        <f>SUM(L1:L2)</f>
        <v>0</v>
      </c>
      <c r="M3" s="1254"/>
      <c r="P3" s="123">
        <f>SUM(P1:P2)</f>
        <v>0</v>
      </c>
      <c r="Q3" s="1254"/>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4894844.17</v>
      </c>
      <c r="E7" s="1315"/>
      <c r="H7" s="2">
        <f>D88</f>
        <v>5199989.17</v>
      </c>
      <c r="I7" s="1315"/>
      <c r="J7" s="60"/>
      <c r="L7" s="2">
        <f>H88</f>
        <v>5305978.17</v>
      </c>
      <c r="M7" s="1315"/>
      <c r="P7" s="2">
        <f>L88</f>
        <v>4262317.17</v>
      </c>
      <c r="Q7" s="1315"/>
      <c r="T7" s="2">
        <f>P88</f>
        <v>3189993.17</v>
      </c>
      <c r="U7" s="105"/>
      <c r="X7" s="2">
        <f>T88</f>
        <v>1633830.17</v>
      </c>
      <c r="Y7" s="105"/>
      <c r="AB7" s="2">
        <f>X88</f>
        <v>32410.169999999925</v>
      </c>
      <c r="AC7" s="105"/>
    </row>
    <row r="8" spans="1:29" x14ac:dyDescent="0.25">
      <c r="E8" s="1315"/>
      <c r="H8" s="2"/>
      <c r="I8" s="1315"/>
      <c r="L8" s="2"/>
      <c r="M8" s="1315"/>
      <c r="Q8" s="1315"/>
      <c r="U8" s="105"/>
      <c r="Y8" s="105"/>
      <c r="AC8" s="105"/>
    </row>
    <row r="9" spans="1:29" x14ac:dyDescent="0.25">
      <c r="B9" s="1317" t="s">
        <v>52</v>
      </c>
      <c r="C9" s="1243" t="s">
        <v>451</v>
      </c>
      <c r="D9" s="2">
        <v>1090180</v>
      </c>
      <c r="E9" s="1315"/>
      <c r="G9" s="1527">
        <f>IF(D9=0,"0.00%",(H9-D9)/D9)</f>
        <v>2.5084848373663066E-2</v>
      </c>
      <c r="H9" s="2">
        <v>1117527</v>
      </c>
      <c r="I9" s="1315"/>
      <c r="J9" s="61"/>
      <c r="K9" s="1527">
        <f>IF(H9=0,"0.00%",(L9-H9)/H9)</f>
        <v>2.1500151674187739E-2</v>
      </c>
      <c r="L9" s="2">
        <f>ROUND(H9*(+LEFT(M9,5)+1),0)</f>
        <v>1141554</v>
      </c>
      <c r="M9" s="1240" t="str">
        <f>TEXT('MYP Assumptions'!$F$44,"0.00%")&amp;", COLA"</f>
        <v>2.15%, COLA</v>
      </c>
      <c r="O9" s="1527">
        <f>IF(L9=0,"0.00%",(P9-L9)/L9)</f>
        <v>2.3500421355450551E-2</v>
      </c>
      <c r="P9" s="2">
        <f>ROUND(L9*(+LEFT(Q9,5)+1),0)</f>
        <v>1168381</v>
      </c>
      <c r="Q9" s="1240" t="str">
        <f>TEXT('MYP Assumptions'!$G$44,"0.00%")&amp;", COLA"</f>
        <v>2.35%, COLA</v>
      </c>
      <c r="S9" s="83">
        <f>IF(P9=0,"0.00%",(T9-P9)/P9)</f>
        <v>-1</v>
      </c>
      <c r="T9" s="3">
        <f>T3</f>
        <v>0</v>
      </c>
      <c r="U9" s="105"/>
      <c r="W9" s="83" t="str">
        <f>IF(T9=0,"0.00%",(X9-T9)/T9)</f>
        <v>0.00%</v>
      </c>
      <c r="X9" s="3">
        <f>X3</f>
        <v>0</v>
      </c>
      <c r="Y9" s="105"/>
      <c r="AA9" s="83" t="str">
        <f>IF(X9=0,"0.00%",(AB9-X9)/X9)</f>
        <v>0.00%</v>
      </c>
      <c r="AB9" s="3">
        <f>AB3</f>
        <v>0</v>
      </c>
      <c r="AC9" s="105"/>
    </row>
    <row r="10" spans="1:29" x14ac:dyDescent="0.25">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1090180</v>
      </c>
      <c r="E11" s="1315"/>
      <c r="G11" s="1527">
        <f t="shared" si="0"/>
        <v>2.5084848373663066E-2</v>
      </c>
      <c r="H11" s="8">
        <f>SUM(H9:H10)</f>
        <v>1117527</v>
      </c>
      <c r="I11" s="1882">
        <f>+H11-D11</f>
        <v>27347</v>
      </c>
      <c r="J11" s="62"/>
      <c r="K11" s="1527">
        <f>IF(H11=0,"0.00%",(L11-H11)/H11)</f>
        <v>2.1500151674187739E-2</v>
      </c>
      <c r="L11" s="8">
        <f>SUM(L9:L10)</f>
        <v>1141554</v>
      </c>
      <c r="M11" s="1882">
        <f>+L11-H11</f>
        <v>24027</v>
      </c>
      <c r="O11" s="1527">
        <f>IF(L11=0,"0.00%",(P11-L11)/L11)</f>
        <v>2.3500421355450551E-2</v>
      </c>
      <c r="P11" s="8">
        <f>SUM(P9:P10)</f>
        <v>1168381</v>
      </c>
      <c r="Q11" s="1882">
        <f>+P11-L11</f>
        <v>26827</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ROUND(D11-(D11/(1+B13)),0)</f>
        <v>0</v>
      </c>
      <c r="E13" s="1315"/>
      <c r="G13" s="1527" t="str">
        <f t="shared" si="0"/>
        <v>0.00%</v>
      </c>
      <c r="H13" s="9">
        <f>ROUND(H11-(H11/(1+B13)),0)</f>
        <v>0</v>
      </c>
      <c r="I13" s="1315"/>
      <c r="J13" s="64"/>
      <c r="K13" s="1527" t="str">
        <f>IF(H13=0,"0.00%",(L13-H13)/H13)</f>
        <v>0.00%</v>
      </c>
      <c r="L13" s="9">
        <f>ROUND(L11-(L11/(1+B13)),0)</f>
        <v>0</v>
      </c>
      <c r="M13" s="1315"/>
      <c r="O13" s="1527" t="str">
        <f>IF(L13=0,"0.00%",(P13-L13)/L13)</f>
        <v>0.00%</v>
      </c>
      <c r="P13" s="9">
        <f>ROUND(P11-(P11/(1+B13)),0)</f>
        <v>0</v>
      </c>
      <c r="Q13" s="131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D11-D13+D7</f>
        <v>5985024.1699999999</v>
      </c>
      <c r="E15" s="1315"/>
      <c r="G15" s="1527">
        <f t="shared" si="0"/>
        <v>5.5553994529649493E-2</v>
      </c>
      <c r="H15" s="10">
        <f>H11-H13+H7</f>
        <v>6317516.1699999999</v>
      </c>
      <c r="I15" s="1882">
        <f>+H15-D15</f>
        <v>332492</v>
      </c>
      <c r="J15" s="62"/>
      <c r="K15" s="1527">
        <f>IF(H15=0,"0.00%",(L15-H15)/H15)</f>
        <v>2.0580240161063173E-2</v>
      </c>
      <c r="L15" s="10">
        <f>L11-L13+L7</f>
        <v>6447532.1699999999</v>
      </c>
      <c r="M15" s="1882">
        <f>+L15-H15</f>
        <v>130016</v>
      </c>
      <c r="O15" s="1527">
        <f>IF(L15=0,"0.00%",(P15-L15)/L15)</f>
        <v>-0.15770902310984514</v>
      </c>
      <c r="P15" s="10">
        <f>P11-P13+P7</f>
        <v>5430698.1699999999</v>
      </c>
      <c r="Q15" s="1882">
        <f>+P15-L15</f>
        <v>-1016834</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526">
        <v>1.4999999999999999E-2</v>
      </c>
      <c r="P19" s="14" t="s">
        <v>48</v>
      </c>
      <c r="Q19" s="1526">
        <v>1.4999999999999999E-2</v>
      </c>
      <c r="T19" s="14" t="s">
        <v>48</v>
      </c>
      <c r="U19" s="104">
        <v>0.02</v>
      </c>
      <c r="X19" s="14" t="s">
        <v>48</v>
      </c>
      <c r="Y19" s="104">
        <v>0.02</v>
      </c>
      <c r="AB19" s="14" t="s">
        <v>48</v>
      </c>
      <c r="AC19" s="104">
        <v>0.02</v>
      </c>
    </row>
    <row r="20" spans="1:29" s="13" customFormat="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x14ac:dyDescent="0.25">
      <c r="A21" s="152"/>
      <c r="B21" s="1326">
        <v>1110</v>
      </c>
      <c r="C21" s="1243" t="s">
        <v>918</v>
      </c>
      <c r="D21" s="2">
        <v>0</v>
      </c>
      <c r="E21" s="1249"/>
      <c r="F21" s="2"/>
      <c r="G21" s="1527" t="str">
        <f t="shared" ref="G21:G24" si="1">IF(D21=0,"0.00%",(H21-D21)/D21)</f>
        <v>0.00%</v>
      </c>
      <c r="H21" s="2">
        <v>10881</v>
      </c>
      <c r="I21" s="1257" t="s">
        <v>931</v>
      </c>
      <c r="J21" s="66"/>
      <c r="K21" s="1527">
        <f t="shared" ref="K21:K23" si="2">IF(H21=0,"0.00%",(L21-H21)/H21)</f>
        <v>1.4980240786692399E-2</v>
      </c>
      <c r="L21" s="2">
        <f>ROUND(H21*(1+M19),0)</f>
        <v>11044</v>
      </c>
      <c r="M21" s="1257"/>
      <c r="O21" s="1527">
        <f t="shared" ref="O21:O23" si="3">IF(L21=0,"0.00%",(P21-L21)/L21)</f>
        <v>1.5030785947120609E-2</v>
      </c>
      <c r="P21" s="2">
        <f>ROUND(L21*(1+Q19),0)</f>
        <v>11210</v>
      </c>
      <c r="Q21" s="1257"/>
      <c r="S21" s="83">
        <f t="shared" ref="S21:S23" si="4">IF(P21=0,"0.00%",(T21-P21)/P21)</f>
        <v>1.9982158786797502E-2</v>
      </c>
      <c r="T21" s="2">
        <f>ROUND(P21*(1+U19),0)</f>
        <v>11434</v>
      </c>
      <c r="U21" s="36" t="str">
        <f>TEXT(U19,"0.0%")&amp;" = Est. S &amp; C"</f>
        <v>2.0% = Est. S &amp; C</v>
      </c>
      <c r="W21" s="83">
        <f t="shared" ref="W21:W23" si="5">IF(T21=0,"0.00%",(X21-T21)/T21)</f>
        <v>2.0027986706314501E-2</v>
      </c>
      <c r="X21" s="2">
        <f>ROUND(T21*(1+Y19),0)</f>
        <v>11663</v>
      </c>
      <c r="Y21" s="36" t="str">
        <f>TEXT(Y19,"0.0%")&amp;" = Est. S &amp; C"</f>
        <v>2.0% = Est. S &amp; C</v>
      </c>
      <c r="AA21" s="83">
        <f t="shared" ref="AA21:AA23" si="6">IF(X21=0,"0.00%",(AB21-X21)/X21)</f>
        <v>1.9977707279430677E-2</v>
      </c>
      <c r="AB21" s="2">
        <f>ROUND(X21*(1+AC19),0)</f>
        <v>11896</v>
      </c>
      <c r="AC21" s="36" t="str">
        <f>TEXT(AC19,"0.0%")&amp;" = Est. S &amp; C"</f>
        <v>2.0% = Est. S &amp; C</v>
      </c>
    </row>
    <row r="22" spans="1:29" x14ac:dyDescent="0.25">
      <c r="A22" s="153"/>
      <c r="B22" s="1326">
        <v>1122</v>
      </c>
      <c r="C22" s="1243" t="s">
        <v>919</v>
      </c>
      <c r="D22" s="2">
        <v>0</v>
      </c>
      <c r="E22" s="1249"/>
      <c r="F22" s="2"/>
      <c r="G22" s="1527" t="str">
        <f t="shared" si="1"/>
        <v>0.00%</v>
      </c>
      <c r="H22" s="2">
        <v>24867</v>
      </c>
      <c r="I22" s="1257" t="s">
        <v>931</v>
      </c>
      <c r="J22" s="66"/>
      <c r="K22" s="1527">
        <f t="shared" si="2"/>
        <v>1.4999798930309245E-2</v>
      </c>
      <c r="L22" s="2">
        <f>ROUND(H22*(1+M19),0)</f>
        <v>25240</v>
      </c>
      <c r="M22" s="1257"/>
      <c r="O22" s="1527">
        <f t="shared" si="3"/>
        <v>1.5015847860538827E-2</v>
      </c>
      <c r="P22" s="2">
        <f>ROUND(L22*(1+Q19),0)</f>
        <v>25619</v>
      </c>
      <c r="Q22" s="1257"/>
      <c r="S22" s="83">
        <f t="shared" si="4"/>
        <v>1.9985167258675201E-2</v>
      </c>
      <c r="T22" s="2">
        <f>ROUND(P22*(1+U19),0)</f>
        <v>26131</v>
      </c>
      <c r="U22" s="36" t="str">
        <f>TEXT(U19,"0.0%")&amp;" = Est. S &amp; C"</f>
        <v>2.0% = Est. S &amp; C</v>
      </c>
      <c r="W22" s="83">
        <f t="shared" si="5"/>
        <v>2.0014542114729632E-2</v>
      </c>
      <c r="X22" s="2">
        <f>ROUND(T22*(1+Y19),0)</f>
        <v>26654</v>
      </c>
      <c r="Y22" s="36" t="str">
        <f>TEXT(Y19,"0.0%")&amp;" = Est. S &amp; C"</f>
        <v>2.0% = Est. S &amp; C</v>
      </c>
      <c r="AA22" s="83">
        <f t="shared" si="6"/>
        <v>1.9996998574322803E-2</v>
      </c>
      <c r="AB22" s="2">
        <f>ROUND(X22*(1+AC19),0)</f>
        <v>27187</v>
      </c>
      <c r="AC22" s="36" t="str">
        <f>TEXT(AC19,"0.0%")&amp;" = Est. S &amp; C"</f>
        <v>2.0% = Est. S &amp; C</v>
      </c>
    </row>
    <row r="23" spans="1:29" x14ac:dyDescent="0.25">
      <c r="A23" s="153"/>
      <c r="B23" s="1326"/>
      <c r="E23" s="1249"/>
      <c r="F23" s="2"/>
      <c r="G23" s="1527" t="str">
        <f t="shared" si="1"/>
        <v>0.00%</v>
      </c>
      <c r="H23" s="2"/>
      <c r="I23" s="1257"/>
      <c r="J23" s="66"/>
      <c r="K23" s="1527" t="str">
        <f t="shared" si="2"/>
        <v>0.00%</v>
      </c>
      <c r="L23" s="2"/>
      <c r="M23" s="1257"/>
      <c r="O23" s="1527" t="str">
        <f t="shared" si="3"/>
        <v>0.00%</v>
      </c>
      <c r="P23" s="2">
        <f>ROUND(L23*(1+Q19),0)</f>
        <v>0</v>
      </c>
      <c r="Q23" s="1257"/>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x14ac:dyDescent="0.25">
      <c r="A24" s="154"/>
      <c r="B24" s="1326"/>
      <c r="D24" s="8">
        <f>SUM(D21:D23)</f>
        <v>0</v>
      </c>
      <c r="E24" s="1249"/>
      <c r="F24" s="2"/>
      <c r="G24" s="1527" t="str">
        <f t="shared" si="1"/>
        <v>0.00%</v>
      </c>
      <c r="H24" s="8">
        <f>SUM(H21:H23)</f>
        <v>35748</v>
      </c>
      <c r="I24" s="1882">
        <f>+H24-D24</f>
        <v>35748</v>
      </c>
      <c r="J24" s="29"/>
      <c r="K24" s="1527">
        <f>IF(H24=0,"0.00%",(L24-H24)/H24)</f>
        <v>1.4993845809555779E-2</v>
      </c>
      <c r="L24" s="8">
        <f>SUM(L21:L23)</f>
        <v>36284</v>
      </c>
      <c r="M24" s="1882">
        <f>+L24-H24</f>
        <v>536</v>
      </c>
      <c r="O24" s="1527">
        <f t="shared" ref="O24" si="7">IF(L24=0,"0.00%",(P24-L24)/L24)</f>
        <v>1.5020394664314849E-2</v>
      </c>
      <c r="P24" s="8">
        <f>SUM(P21:P23)</f>
        <v>36829</v>
      </c>
      <c r="Q24" s="1882">
        <f>+P24-L24</f>
        <v>545</v>
      </c>
      <c r="S24" s="83">
        <f>IF(P24=0,"0.00%",(T24-P24)/P24)</f>
        <v>1.9984251540905267E-2</v>
      </c>
      <c r="T24" s="8">
        <f>SUM(T21:T23)</f>
        <v>37565</v>
      </c>
      <c r="U24" s="73"/>
      <c r="W24" s="83">
        <f>IF(T24=0,"0.00%",(X24-T24)/T24)</f>
        <v>2.001863436709703E-2</v>
      </c>
      <c r="X24" s="8">
        <f>SUM(X21:X23)</f>
        <v>38317</v>
      </c>
      <c r="Y24" s="73"/>
      <c r="AA24" s="83">
        <f>IF(X24=0,"0.00%",(AB24-X24)/X24)</f>
        <v>1.9991126653965602E-2</v>
      </c>
      <c r="AB24" s="8">
        <f>SUM(AB21:AB23)</f>
        <v>39083</v>
      </c>
      <c r="AC24" s="73"/>
    </row>
    <row r="25" spans="1:29" x14ac:dyDescent="0.25">
      <c r="A25" s="153"/>
      <c r="E25" s="1249"/>
      <c r="F25" s="2"/>
      <c r="H25" s="2"/>
      <c r="I25" s="1257"/>
      <c r="J25" s="66"/>
      <c r="L25" s="2"/>
      <c r="M25" s="1335"/>
      <c r="Q25" s="1335"/>
      <c r="T25" s="2"/>
      <c r="U25" s="73"/>
      <c r="X25" s="2"/>
      <c r="Y25" s="73"/>
      <c r="AB25" s="2"/>
      <c r="AC25" s="73"/>
    </row>
    <row r="26" spans="1:29" s="4" customFormat="1" x14ac:dyDescent="0.25">
      <c r="A26" s="151"/>
      <c r="B26" s="1327" t="s">
        <v>35</v>
      </c>
      <c r="C26" s="1259"/>
      <c r="D26" s="6"/>
      <c r="E26" s="1250"/>
      <c r="F26" s="6"/>
      <c r="G26" s="1539"/>
      <c r="H26" s="6"/>
      <c r="I26" s="1250"/>
      <c r="J26" s="57"/>
      <c r="K26" s="1571"/>
      <c r="L26" s="6"/>
      <c r="M26" s="1337"/>
      <c r="O26" s="1571"/>
      <c r="P26" s="6"/>
      <c r="Q26" s="1337"/>
      <c r="R26" s="111"/>
      <c r="T26" s="6"/>
      <c r="U26" s="71"/>
      <c r="X26" s="6"/>
      <c r="Y26" s="71"/>
      <c r="AB26" s="6"/>
      <c r="AC26" s="71"/>
    </row>
    <row r="27" spans="1:29" x14ac:dyDescent="0.25">
      <c r="A27" s="153"/>
      <c r="B27" s="1326">
        <v>2103</v>
      </c>
      <c r="C27" s="1243" t="s">
        <v>920</v>
      </c>
      <c r="D27" s="2">
        <v>0</v>
      </c>
      <c r="E27" s="1249"/>
      <c r="F27" s="2"/>
      <c r="G27" s="1527" t="s">
        <v>936</v>
      </c>
      <c r="H27" s="2">
        <v>13468</v>
      </c>
      <c r="I27" s="1257" t="s">
        <v>931</v>
      </c>
      <c r="J27" s="66"/>
      <c r="K27" s="1527">
        <f t="shared" ref="K27:K29" si="8">IF(H27=0,"0.00%",(L27-H27)/H27)</f>
        <v>0</v>
      </c>
      <c r="L27" s="2">
        <f>+H27</f>
        <v>13468</v>
      </c>
      <c r="M27" s="1257"/>
      <c r="O27" s="1527">
        <f t="shared" ref="O27:O30" si="9">IF(L27=0,"0.00%",(P27-L27)/L27)</f>
        <v>0</v>
      </c>
      <c r="P27" s="2">
        <f>+L27</f>
        <v>13468</v>
      </c>
      <c r="Q27" s="1257"/>
      <c r="S27" s="83">
        <f t="shared" ref="S27:S30" si="10">IF(P27=0,"0.00%",(T27-P27)/P27)</f>
        <v>1.9973269973269973E-2</v>
      </c>
      <c r="T27" s="2">
        <f>ROUND(P27*(1+U19),0)</f>
        <v>13737</v>
      </c>
      <c r="U27" s="36" t="str">
        <f>TEXT(U19,"0.0%")&amp;" = Est. S &amp; C"</f>
        <v>2.0% = Est. S &amp; C</v>
      </c>
      <c r="W27" s="83">
        <f t="shared" ref="W27:W30" si="11">IF(T27=0,"0.00%",(X27-T27)/T27)</f>
        <v>2.0018926985513576E-2</v>
      </c>
      <c r="X27" s="2">
        <f>ROUND(T27*(1+Y19),0)</f>
        <v>14012</v>
      </c>
      <c r="Y27" s="36" t="str">
        <f>TEXT(Y19,"0.0%")&amp;" = Est. S &amp; C"</f>
        <v>2.0% = Est. S &amp; C</v>
      </c>
      <c r="AA27" s="83">
        <f t="shared" ref="AA27:AA30" si="12">IF(X27=0,"0.00%",(AB27-X27)/X27)</f>
        <v>1.998287182415073E-2</v>
      </c>
      <c r="AB27" s="2">
        <f>ROUND(X27*(1+AC19),0)</f>
        <v>14292</v>
      </c>
      <c r="AC27" s="36" t="str">
        <f>TEXT(AC19,"0.0%")&amp;" = Est. S &amp; C"</f>
        <v>2.0% = Est. S &amp; C</v>
      </c>
    </row>
    <row r="28" spans="1:29" x14ac:dyDescent="0.25">
      <c r="A28" s="153"/>
      <c r="B28" s="1384" t="s">
        <v>251</v>
      </c>
      <c r="C28" s="1249" t="s">
        <v>868</v>
      </c>
      <c r="D28" s="2">
        <v>0</v>
      </c>
      <c r="E28" s="1249"/>
      <c r="F28" s="2"/>
      <c r="G28" s="1527"/>
      <c r="H28" s="2">
        <v>0</v>
      </c>
      <c r="I28" s="1257"/>
      <c r="J28" s="66"/>
      <c r="K28" s="1527" t="s">
        <v>936</v>
      </c>
      <c r="L28" s="2">
        <f>ROUND(+'RS 00XX &amp; 1400'!H68*(1+M19),0)</f>
        <v>562220</v>
      </c>
      <c r="M28" s="1257" t="s">
        <v>947</v>
      </c>
      <c r="O28" s="1881">
        <f t="shared" si="9"/>
        <v>1.4999466401052968E-2</v>
      </c>
      <c r="P28" s="2">
        <f>ROUND(+L28*(1+Q19),0)</f>
        <v>570653</v>
      </c>
      <c r="Q28" s="1257"/>
      <c r="S28" s="83"/>
      <c r="T28" s="2"/>
      <c r="U28" s="36"/>
      <c r="W28" s="83"/>
      <c r="X28" s="2"/>
      <c r="Y28" s="36"/>
      <c r="AA28" s="83"/>
      <c r="AB28" s="2"/>
      <c r="AC28" s="36"/>
    </row>
    <row r="29" spans="1:29" x14ac:dyDescent="0.25">
      <c r="A29" s="153"/>
      <c r="B29" s="1326">
        <v>2908</v>
      </c>
      <c r="C29" s="1243" t="s">
        <v>921</v>
      </c>
      <c r="D29" s="2">
        <v>0</v>
      </c>
      <c r="E29" s="1249"/>
      <c r="F29" s="2"/>
      <c r="G29" s="1527" t="s">
        <v>936</v>
      </c>
      <c r="H29" s="2">
        <v>101547</v>
      </c>
      <c r="I29" s="1257" t="s">
        <v>931</v>
      </c>
      <c r="J29" s="66"/>
      <c r="K29" s="1527">
        <f t="shared" si="8"/>
        <v>5.1020709622145409E-2</v>
      </c>
      <c r="L29" s="2">
        <f>+H29+'RS 00XX &amp; 1400'!H76</f>
        <v>106728</v>
      </c>
      <c r="M29" s="1257" t="s">
        <v>947</v>
      </c>
      <c r="O29" s="1527">
        <f t="shared" si="9"/>
        <v>0</v>
      </c>
      <c r="P29" s="2">
        <f>+L29</f>
        <v>106728</v>
      </c>
      <c r="Q29" s="1257"/>
      <c r="S29" s="83">
        <f t="shared" si="10"/>
        <v>2.0004122629488044E-2</v>
      </c>
      <c r="T29" s="2">
        <f>ROUND(P29*(1+U19),0)</f>
        <v>108863</v>
      </c>
      <c r="U29" s="36" t="str">
        <f>TEXT(U19,"0.0%")&amp;" = Est. S &amp; C"</f>
        <v>2.0% = Est. S &amp; C</v>
      </c>
      <c r="W29" s="83">
        <f t="shared" si="11"/>
        <v>1.9997611677061995E-2</v>
      </c>
      <c r="X29" s="2">
        <f>ROUND(T29*(1+Y19),0)</f>
        <v>111040</v>
      </c>
      <c r="Y29" s="36" t="str">
        <f>TEXT(Y19,"0.0%")&amp;" = Est. S &amp; C"</f>
        <v>2.0% = Est. S &amp; C</v>
      </c>
      <c r="AA29" s="83">
        <f t="shared" si="12"/>
        <v>2.0001801152737753E-2</v>
      </c>
      <c r="AB29" s="2">
        <f>ROUND(X29*(1+AC19),0)</f>
        <v>113261</v>
      </c>
      <c r="AC29" s="36" t="str">
        <f>TEXT(AC19,"0.0%")&amp;" = Est. S &amp; C"</f>
        <v>2.0% = Est. S &amp; C</v>
      </c>
    </row>
    <row r="30" spans="1:29" x14ac:dyDescent="0.25">
      <c r="A30" s="153"/>
      <c r="B30" s="1384" t="s">
        <v>255</v>
      </c>
      <c r="C30" s="1249" t="s">
        <v>865</v>
      </c>
      <c r="D30" s="2">
        <v>0</v>
      </c>
      <c r="E30" s="1249"/>
      <c r="F30" s="2"/>
      <c r="G30" s="1527"/>
      <c r="H30" s="2"/>
      <c r="I30" s="1257"/>
      <c r="J30" s="66"/>
      <c r="K30" s="1527" t="s">
        <v>936</v>
      </c>
      <c r="L30" s="2">
        <f>ROUND(+'RS 00XX &amp; 1400'!H75*(1+M19),)</f>
        <v>534157</v>
      </c>
      <c r="M30" s="1257" t="s">
        <v>947</v>
      </c>
      <c r="O30" s="1527">
        <f t="shared" si="9"/>
        <v>1.499933540138948E-2</v>
      </c>
      <c r="P30" s="2">
        <f>ROUND(+L30*(1+Q19),0)</f>
        <v>542169</v>
      </c>
      <c r="Q30" s="1257"/>
      <c r="S30" s="83">
        <f t="shared" si="10"/>
        <v>1.9999299111531643E-2</v>
      </c>
      <c r="T30" s="2">
        <f>ROUND(P30*(1+U19),0)</f>
        <v>553012</v>
      </c>
      <c r="U30" s="36" t="str">
        <f>TEXT(U19,"0.0%")&amp;" = Est. S &amp; C"</f>
        <v>2.0% = Est. S &amp; C</v>
      </c>
      <c r="W30" s="83">
        <f t="shared" si="11"/>
        <v>1.9999566013034074E-2</v>
      </c>
      <c r="X30" s="2">
        <f>ROUND(T30*(1+Y19),0)</f>
        <v>564072</v>
      </c>
      <c r="Y30" s="36" t="str">
        <f>TEXT(Y19,"0.0%")&amp;" = Est. S &amp; C"</f>
        <v>2.0% = Est. S &amp; C</v>
      </c>
      <c r="AA30" s="83">
        <f t="shared" si="12"/>
        <v>1.9999219957735893E-2</v>
      </c>
      <c r="AB30" s="2">
        <f>ROUND(X30*(1+AC19),0)</f>
        <v>575353</v>
      </c>
      <c r="AC30" s="36" t="str">
        <f>TEXT(AC19,"0.0%")&amp;" = Est. S &amp; C"</f>
        <v>2.0% = Est. S &amp; C</v>
      </c>
    </row>
    <row r="31" spans="1:29" x14ac:dyDescent="0.25">
      <c r="A31" s="154"/>
      <c r="B31" s="1326"/>
      <c r="D31" s="8">
        <f>SUM(D27:D30)</f>
        <v>0</v>
      </c>
      <c r="E31" s="1249"/>
      <c r="F31" s="2"/>
      <c r="G31" s="1527"/>
      <c r="H31" s="8">
        <f>SUM(H27:H30)</f>
        <v>115015</v>
      </c>
      <c r="I31" s="1882">
        <f>+H31-D31</f>
        <v>115015</v>
      </c>
      <c r="J31" s="29"/>
      <c r="K31" s="1527">
        <f>IF(H31=0,"0.00%",(L31-H31)/H31)</f>
        <v>9.5775159761770201</v>
      </c>
      <c r="L31" s="8">
        <f>SUM(L27:L30)</f>
        <v>1216573</v>
      </c>
      <c r="M31" s="1882">
        <f>+L31-H31</f>
        <v>1101558</v>
      </c>
      <c r="O31" s="1527">
        <f>IF(L31=0,"0.00%",(P31-L31)/L31)</f>
        <v>1.3517479016877738E-2</v>
      </c>
      <c r="P31" s="8">
        <f>SUM(P27:P30)</f>
        <v>1233018</v>
      </c>
      <c r="Q31" s="1882">
        <f>+P31-L31</f>
        <v>16445</v>
      </c>
      <c r="S31" s="83">
        <f>IF(P31=0,"0.00%",(T31-P31)/P31)</f>
        <v>-0.45206639319134029</v>
      </c>
      <c r="T31" s="8">
        <f>SUM(T27:T30)</f>
        <v>675612</v>
      </c>
      <c r="U31" s="73"/>
      <c r="W31" s="83">
        <f>IF(T31=0,"0.00%",(X31-T31)/T31)</f>
        <v>1.9999644766522797E-2</v>
      </c>
      <c r="X31" s="8">
        <f>SUM(X27:X30)</f>
        <v>689124</v>
      </c>
      <c r="Y31" s="73"/>
      <c r="AA31" s="83">
        <f>IF(X31=0,"0.00%",(AB31-X31)/X31)</f>
        <v>1.9999303463527608E-2</v>
      </c>
      <c r="AB31" s="8">
        <f>SUM(AB27:AB30)</f>
        <v>702906</v>
      </c>
      <c r="AC31" s="73"/>
    </row>
    <row r="32" spans="1:29" x14ac:dyDescent="0.25">
      <c r="A32" s="153"/>
      <c r="B32" s="1317" t="s">
        <v>28</v>
      </c>
      <c r="E32" s="1249"/>
      <c r="F32" s="2"/>
      <c r="H32" s="2"/>
      <c r="I32" s="1257"/>
      <c r="J32" s="66"/>
      <c r="L32" s="2"/>
      <c r="M32" s="1335"/>
      <c r="Q32" s="1335"/>
      <c r="T32" s="2"/>
      <c r="U32" s="73"/>
      <c r="X32" s="2"/>
      <c r="Y32" s="73"/>
      <c r="AB32" s="2"/>
      <c r="AC32" s="73"/>
    </row>
    <row r="33" spans="1:29" x14ac:dyDescent="0.25">
      <c r="A33" s="155"/>
      <c r="B33" s="1323" t="s">
        <v>27</v>
      </c>
      <c r="E33" s="1249"/>
      <c r="F33" s="2"/>
      <c r="H33" s="2"/>
      <c r="I33" s="1257"/>
      <c r="J33" s="66"/>
      <c r="L33" s="2"/>
      <c r="M33" s="1335"/>
      <c r="Q33" s="1335"/>
      <c r="T33" s="2"/>
      <c r="U33" s="73"/>
      <c r="X33" s="2"/>
      <c r="Y33" s="73"/>
      <c r="AB33" s="2"/>
      <c r="AC33" s="73"/>
    </row>
    <row r="34" spans="1:29" x14ac:dyDescent="0.25">
      <c r="A34" s="153"/>
      <c r="B34" s="1326" t="s">
        <v>83</v>
      </c>
      <c r="C34" s="1243" t="s">
        <v>76</v>
      </c>
      <c r="D34" s="2">
        <v>0</v>
      </c>
      <c r="E34" s="1240" t="str">
        <f>TEXT('MYP Assumptions'!$D$52,"0.00%")&amp;", STRS rate"</f>
        <v>12.58%, STRS rate</v>
      </c>
      <c r="F34" s="2"/>
      <c r="G34" s="1527" t="s">
        <v>936</v>
      </c>
      <c r="H34" s="2">
        <v>5158</v>
      </c>
      <c r="I34" s="1240" t="str">
        <f>TEXT('MYP Assumptions'!E52,"0.00%")&amp;", projected STRS rate"</f>
        <v>14.43%, projected STRS rate</v>
      </c>
      <c r="J34" s="66"/>
      <c r="K34" s="1527">
        <f t="shared" ref="K34:K43" si="13">IF(H34=0,"0.00%",(L34-H34)/H34)</f>
        <v>0.14521132221791391</v>
      </c>
      <c r="L34" s="2">
        <f>ROUND(L24*LEFT(M34,6),0)</f>
        <v>5907</v>
      </c>
      <c r="M34" s="1240" t="str">
        <f>TEXT('MYP Assumptions'!F52,"0.00%")&amp;", projected STRS rate"</f>
        <v>16.28%, projected STRS rate</v>
      </c>
      <c r="O34" s="1527">
        <f t="shared" ref="O34:O43" si="14">IF(L34=0,"0.00%",(P34-L34)/L34)</f>
        <v>0.13035381750465549</v>
      </c>
      <c r="P34" s="2">
        <f>ROUND(P24*LEFT(Q34,6),0)</f>
        <v>6677</v>
      </c>
      <c r="Q34" s="1240" t="str">
        <f>TEXT('MYP Assumptions'!G52,"0.00%")&amp;", projected STRS rate"</f>
        <v>18.13%, projected STRS rate</v>
      </c>
      <c r="S34" s="83">
        <f t="shared" ref="S34:S43" si="15">IF(P34=0,"0.00%",(T34-P34)/P34)</f>
        <v>7.4584394189007044E-2</v>
      </c>
      <c r="T34" s="2">
        <f>ROUND(T24*LEFT(U34,6),0)</f>
        <v>7175</v>
      </c>
      <c r="U34" s="81" t="str">
        <f>TEXT('MYP Assumptions'!H52,"0.00%")&amp;", projected STRS rate"</f>
        <v>19.10%, projected STRS rate</v>
      </c>
      <c r="W34" s="83">
        <f t="shared" ref="W34:W43" si="16">IF(T34=0,"0.00%",(X34-T34)/T34)</f>
        <v>2.0069686411149826E-2</v>
      </c>
      <c r="X34" s="2">
        <f>ROUND(X24*LEFT(Y34,6),0)</f>
        <v>7319</v>
      </c>
      <c r="Y34" s="81" t="str">
        <f>TEXT('MYP Assumptions'!I52,"0.00%")&amp;", projected STRS rate"</f>
        <v>19.10%, projected STRS rate</v>
      </c>
      <c r="AA34" s="83">
        <f t="shared" ref="AA34:AA43" si="17">IF(X34=0,"0.00%",(AB34-X34)/X34)</f>
        <v>1.9948080338844106E-2</v>
      </c>
      <c r="AB34" s="2">
        <f>ROUND(AB24*LEFT(AC34,6),0)</f>
        <v>7465</v>
      </c>
      <c r="AC34" s="81" t="str">
        <f>TEXT('MYP Assumptions'!J52,"0.00%")&amp;", projected STRS rate"</f>
        <v>19.10%, projected STRS rate</v>
      </c>
    </row>
    <row r="35" spans="1:29" x14ac:dyDescent="0.25">
      <c r="A35" s="153"/>
      <c r="B35" s="1326" t="s">
        <v>84</v>
      </c>
      <c r="C35" s="1243" t="s">
        <v>77</v>
      </c>
      <c r="D35" s="2">
        <v>0</v>
      </c>
      <c r="E35" s="1240" t="str">
        <f>TEXT('MYP Assumptions'!$D$53,"0.00%")&amp;", PERS rate"</f>
        <v>13.89%, PERS rate</v>
      </c>
      <c r="F35" s="2"/>
      <c r="G35" s="1527" t="s">
        <v>936</v>
      </c>
      <c r="H35" s="2">
        <v>17864</v>
      </c>
      <c r="I35" s="1240" t="str">
        <f>TEXT('MYP Assumptions'!E53,"0.00%")&amp;", projected PERS rate"</f>
        <v>15.53%, projected PERS rate</v>
      </c>
      <c r="J35" s="66"/>
      <c r="K35" s="1527">
        <f t="shared" si="13"/>
        <v>11.326466636811464</v>
      </c>
      <c r="L35" s="2">
        <f>ROUND(L31*LEFT(M35,6),0)</f>
        <v>220200</v>
      </c>
      <c r="M35" s="1240" t="str">
        <f>TEXT('MYP Assumptions'!F53,"0.00%")&amp;", projected PERS rate"</f>
        <v>18.10%, projected PERS rate</v>
      </c>
      <c r="O35" s="1527">
        <f t="shared" si="14"/>
        <v>0.16470481380563123</v>
      </c>
      <c r="P35" s="2">
        <f>ROUND(P31*LEFT(Q35,6),0)</f>
        <v>256468</v>
      </c>
      <c r="Q35" s="1240" t="str">
        <f>TEXT('MYP Assumptions'!G53,"0.00%")&amp;", projected PERS rate"</f>
        <v>20.80%, projected PERS rate</v>
      </c>
      <c r="S35" s="83">
        <f t="shared" si="15"/>
        <v>-0.37303679211441582</v>
      </c>
      <c r="T35" s="2">
        <f>ROUND(T31*LEFT(U35,6),0)</f>
        <v>160796</v>
      </c>
      <c r="U35" s="81" t="str">
        <f>TEXT('MYP Assumptions'!H53,"0.00%")&amp;", projected PERS rate"</f>
        <v>23.80%, projected PERS rate</v>
      </c>
      <c r="W35" s="83">
        <f t="shared" si="16"/>
        <v>7.9995771039080579E-2</v>
      </c>
      <c r="X35" s="2">
        <f>ROUND(X31*LEFT(Y35,6),0)</f>
        <v>173659</v>
      </c>
      <c r="Y35" s="81" t="str">
        <f>TEXT('MYP Assumptions'!I53,"0.00%")&amp;", projected PERS rate"</f>
        <v>25.20%, projected PERS rate</v>
      </c>
      <c r="AA35" s="83">
        <f t="shared" si="17"/>
        <v>5.6426675265894656E-2</v>
      </c>
      <c r="AB35" s="2">
        <f>ROUND(AB31*LEFT(AC35,6),0)</f>
        <v>183458</v>
      </c>
      <c r="AC35" s="81" t="str">
        <f>TEXT('MYP Assumptions'!J53,"0.00%")&amp;", projected PERS rate"</f>
        <v>26.10%, projected PERS rate</v>
      </c>
    </row>
    <row r="36" spans="1:29" x14ac:dyDescent="0.25">
      <c r="A36" s="153"/>
      <c r="B36" s="1326" t="s">
        <v>85</v>
      </c>
      <c r="C36" s="1243" t="s">
        <v>78</v>
      </c>
      <c r="D36" s="2">
        <v>0</v>
      </c>
      <c r="E36" s="1240" t="str">
        <f>TEXT('MYP Assumptions'!$D$54,"0.00%")&amp;", SS rate"</f>
        <v>6.20%, SS rate</v>
      </c>
      <c r="F36" s="2"/>
      <c r="G36" s="1527" t="s">
        <v>936</v>
      </c>
      <c r="H36" s="2">
        <v>7129</v>
      </c>
      <c r="I36" s="1240" t="str">
        <f>TEXT('MYP Assumptions'!E54,"0.00%")&amp;", no rate change"</f>
        <v>6.20%, no rate change</v>
      </c>
      <c r="J36" s="66"/>
      <c r="K36" s="1527">
        <f t="shared" si="13"/>
        <v>9.5804460653668109</v>
      </c>
      <c r="L36" s="2">
        <f>ROUND(L31*LEFT(M36,5),0)</f>
        <v>75428</v>
      </c>
      <c r="M36" s="1240" t="str">
        <f>TEXT('MYP Assumptions'!F54,"0.00%")&amp;", no rate change"</f>
        <v>6.20%, no rate change</v>
      </c>
      <c r="O36" s="1527">
        <f t="shared" si="14"/>
        <v>1.3509572042212441E-2</v>
      </c>
      <c r="P36" s="2">
        <f>ROUND(P31*LEFT(Q36,5),0)</f>
        <v>76447</v>
      </c>
      <c r="Q36" s="1240" t="str">
        <f>TEXT('MYP Assumptions'!G54,"0.00%")&amp;", no rate change"</f>
        <v>6.20%, no rate change</v>
      </c>
      <c r="S36" s="83">
        <f t="shared" si="15"/>
        <v>-0.45206482922809266</v>
      </c>
      <c r="T36" s="2">
        <f>ROUND(T31*LEFT(U36,5),0)</f>
        <v>41888</v>
      </c>
      <c r="U36" s="81" t="str">
        <f>TEXT('MYP Assumptions'!H54,"0.00%")&amp;", no rate change"</f>
        <v>6.20%, no rate change</v>
      </c>
      <c r="W36" s="83">
        <f t="shared" si="16"/>
        <v>2.0005729564553095E-2</v>
      </c>
      <c r="X36" s="2">
        <f>ROUND(X31*LEFT(Y36,5),0)</f>
        <v>42726</v>
      </c>
      <c r="Y36" s="81" t="str">
        <f>TEXT('MYP Assumptions'!I54,"0.00%")&amp;", no rate change"</f>
        <v>6.20%, no rate change</v>
      </c>
      <c r="AA36" s="83">
        <f t="shared" si="17"/>
        <v>1.9987829424706269E-2</v>
      </c>
      <c r="AB36" s="2">
        <f>ROUND(AB31*LEFT(AC36,5),0)</f>
        <v>43580</v>
      </c>
      <c r="AC36" s="81" t="str">
        <f>TEXT('MYP Assumptions'!J54,"0.00%")&amp;", no rate change"</f>
        <v>6.20%, no rate change</v>
      </c>
    </row>
    <row r="37" spans="1:29" x14ac:dyDescent="0.25">
      <c r="A37" s="153"/>
      <c r="B37" s="1326" t="s">
        <v>86</v>
      </c>
      <c r="C37" s="1243" t="s">
        <v>79</v>
      </c>
      <c r="D37" s="2">
        <v>0</v>
      </c>
      <c r="E37" s="1240" t="str">
        <f>TEXT('MYP Assumptions'!$D$55,"0.00%")&amp;", Medicare rate"</f>
        <v>1.45%, Medicare rate</v>
      </c>
      <c r="F37" s="2"/>
      <c r="G37" s="1527" t="s">
        <v>936</v>
      </c>
      <c r="H37" s="2">
        <f>518+1668</f>
        <v>2186</v>
      </c>
      <c r="I37" s="1240" t="str">
        <f>TEXT('MYP Assumptions'!E55,"0.00%")&amp;", no rate change"</f>
        <v>1.45%, no rate change</v>
      </c>
      <c r="J37" s="66"/>
      <c r="K37" s="1527">
        <f t="shared" si="13"/>
        <v>7.3101555352241538</v>
      </c>
      <c r="L37" s="2">
        <f>ROUND((L31+L24)*LEFT(M37,5),0)</f>
        <v>18166</v>
      </c>
      <c r="M37" s="1240" t="str">
        <f>TEXT('MYP Assumptions'!F55,"0.00%")&amp;", no rate change"</f>
        <v>1.45%, no rate change</v>
      </c>
      <c r="O37" s="1527">
        <f t="shared" si="14"/>
        <v>1.3596829241440053E-2</v>
      </c>
      <c r="P37" s="2">
        <f>ROUND((P31+P24)*LEFT(Q37,5),0)</f>
        <v>18413</v>
      </c>
      <c r="Q37" s="1240" t="str">
        <f>TEXT('MYP Assumptions'!G55,"0.00%")&amp;", no rate change"</f>
        <v>1.45%, no rate change</v>
      </c>
      <c r="S37" s="83">
        <f t="shared" si="15"/>
        <v>-0.43838592298919243</v>
      </c>
      <c r="T37" s="2">
        <f>ROUND((T31+T24)*LEFT(U37,5),0)</f>
        <v>10341</v>
      </c>
      <c r="U37" s="81" t="str">
        <f>TEXT('MYP Assumptions'!H55,"0.00%")&amp;", no rate change"</f>
        <v>1.45%, no rate change</v>
      </c>
      <c r="W37" s="83">
        <f t="shared" si="16"/>
        <v>2.0017406440382943E-2</v>
      </c>
      <c r="X37" s="2">
        <f>ROUND((X31+X24)*LEFT(Y37,5),0)</f>
        <v>10548</v>
      </c>
      <c r="Y37" s="81" t="str">
        <f>TEXT('MYP Assumptions'!I55,"0.00%")&amp;", no rate change"</f>
        <v>1.45%, no rate change</v>
      </c>
      <c r="AA37" s="83">
        <f t="shared" si="17"/>
        <v>2.0003792188092531E-2</v>
      </c>
      <c r="AB37" s="2">
        <f>ROUND((AB31+AB24)*LEFT(AC37,5),0)</f>
        <v>10759</v>
      </c>
      <c r="AC37" s="81" t="str">
        <f>TEXT('MYP Assumptions'!J55,"0.00%")&amp;", no rate change"</f>
        <v>1.45%, no rate change</v>
      </c>
    </row>
    <row r="38" spans="1:29" x14ac:dyDescent="0.25">
      <c r="A38" s="153"/>
      <c r="B38" s="1326" t="s">
        <v>87</v>
      </c>
      <c r="C38" s="1243" t="s">
        <v>80</v>
      </c>
      <c r="D38" s="2">
        <v>0</v>
      </c>
      <c r="E38" s="1240"/>
      <c r="F38" s="2"/>
      <c r="G38" s="1527"/>
      <c r="H38" s="2">
        <v>0</v>
      </c>
      <c r="I38" s="1240"/>
      <c r="J38" s="66"/>
      <c r="K38" s="1527" t="str">
        <f t="shared" si="13"/>
        <v>0.00%</v>
      </c>
      <c r="L38" s="2">
        <v>0</v>
      </c>
      <c r="M38" s="1240"/>
      <c r="O38" s="1527" t="str">
        <f t="shared" si="14"/>
        <v>0.00%</v>
      </c>
      <c r="P38" s="2">
        <v>0</v>
      </c>
      <c r="Q38" s="1240"/>
      <c r="S38" s="83" t="str">
        <f t="shared" si="15"/>
        <v>0.00%</v>
      </c>
      <c r="T38" s="2">
        <f>ROUND((P38)*(LEFT(U38,5)+1),0)</f>
        <v>0</v>
      </c>
      <c r="U38" s="81" t="str">
        <f>TEXT('MYP Assumptions'!$M$62,"0.00%")&amp;", projected increase"</f>
        <v>7.00%, projected increase</v>
      </c>
      <c r="W38" s="83" t="str">
        <f t="shared" si="16"/>
        <v>0.00%</v>
      </c>
      <c r="X38" s="2">
        <f>ROUND((T38)*(LEFT(Y38,5)+1),0)</f>
        <v>0</v>
      </c>
      <c r="Y38" s="81" t="str">
        <f>TEXT('MYP Assumptions'!$M$62,"0.00%")&amp;", projected increase"</f>
        <v>7.00%, projected increase</v>
      </c>
      <c r="AA38" s="83" t="str">
        <f t="shared" si="17"/>
        <v>0.00%</v>
      </c>
      <c r="AB38" s="2">
        <f>ROUND((X38)*(LEFT(AC38,5)+1),0)</f>
        <v>0</v>
      </c>
      <c r="AC38" s="81" t="str">
        <f>TEXT('MYP Assumptions'!$M$62,"0.00%")&amp;", projected increase"</f>
        <v>7.00%, projected increase</v>
      </c>
    </row>
    <row r="39" spans="1:29" x14ac:dyDescent="0.25">
      <c r="A39" s="153"/>
      <c r="B39" s="1326" t="s">
        <v>88</v>
      </c>
      <c r="C39" s="1243" t="s">
        <v>81</v>
      </c>
      <c r="D39" s="2">
        <v>0</v>
      </c>
      <c r="E39" s="1240" t="str">
        <f>TEXT('MYP Assumptions'!$D$56,"0.00%")&amp;", SUI rate"</f>
        <v>0.05%, SUI rate</v>
      </c>
      <c r="F39" s="2"/>
      <c r="G39" s="1527" t="s">
        <v>936</v>
      </c>
      <c r="H39" s="2">
        <f>17+64</f>
        <v>81</v>
      </c>
      <c r="I39" s="1240" t="str">
        <f>TEXT('MYP Assumptions'!E56,"0.00%")&amp;", no rate change"</f>
        <v>0.05%, no rate change</v>
      </c>
      <c r="J39" s="66"/>
      <c r="K39" s="1527">
        <f t="shared" si="13"/>
        <v>6.7283950617283947</v>
      </c>
      <c r="L39" s="2">
        <f>ROUND((L31+L24)*LEFT(M39,5),0)</f>
        <v>626</v>
      </c>
      <c r="M39" s="1240" t="str">
        <f>TEXT('MYP Assumptions'!F56,"0.00%")&amp;", no rate change"</f>
        <v>0.05%, no rate change</v>
      </c>
      <c r="O39" s="1527">
        <f t="shared" si="14"/>
        <v>1.437699680511182E-2</v>
      </c>
      <c r="P39" s="2">
        <f>ROUND((P31+P24)*LEFT(Q39,5),0)</f>
        <v>635</v>
      </c>
      <c r="Q39" s="1240" t="str">
        <f>TEXT('MYP Assumptions'!G56,"0.00%")&amp;", no rate change"</f>
        <v>0.05%, no rate change</v>
      </c>
      <c r="S39" s="83">
        <f t="shared" si="15"/>
        <v>-0.4377952755905512</v>
      </c>
      <c r="T39" s="2">
        <f>ROUND((T31+T24)*LEFT(U39,5),0)</f>
        <v>357</v>
      </c>
      <c r="U39" s="81" t="str">
        <f>TEXT('MYP Assumptions'!H56,"0.00%")&amp;", no rate change"</f>
        <v>0.05%, no rate change</v>
      </c>
      <c r="W39" s="83">
        <f t="shared" si="16"/>
        <v>1.9607843137254902E-2</v>
      </c>
      <c r="X39" s="2">
        <f>ROUND((X31+X24)*LEFT(Y39,5),0)</f>
        <v>364</v>
      </c>
      <c r="Y39" s="81" t="str">
        <f>TEXT('MYP Assumptions'!I56,"0.00%")&amp;", no rate change"</f>
        <v>0.05%, no rate change</v>
      </c>
      <c r="AA39" s="83">
        <f t="shared" si="17"/>
        <v>1.9230769230769232E-2</v>
      </c>
      <c r="AB39" s="2">
        <f>ROUND((AB31+AB24)*LEFT(AC39,5),0)</f>
        <v>371</v>
      </c>
      <c r="AC39" s="81" t="str">
        <f>TEXT('MYP Assumptions'!J56,"0.00%")&amp;", no rate change"</f>
        <v>0.05%, no rate change</v>
      </c>
    </row>
    <row r="40" spans="1:29" x14ac:dyDescent="0.25">
      <c r="A40" s="153"/>
      <c r="B40" s="1326" t="s">
        <v>89</v>
      </c>
      <c r="C40" s="1243" t="s">
        <v>82</v>
      </c>
      <c r="D40" s="2">
        <v>0</v>
      </c>
      <c r="E40" s="1240" t="str">
        <f>TEXT('MYP Assumptions'!$D$57,"0.00%")&amp;", W/C rate"</f>
        <v>1.10%, W/C rate</v>
      </c>
      <c r="F40" s="2"/>
      <c r="G40" s="1527" t="s">
        <v>936</v>
      </c>
      <c r="H40" s="2">
        <f>393+1259</f>
        <v>1652</v>
      </c>
      <c r="I40" s="1240" t="str">
        <f>TEXT('MYP Assumptions'!E57,"0.00%")&amp;", no rate change"</f>
        <v>1.10%, no rate change</v>
      </c>
      <c r="J40" s="66"/>
      <c r="K40" s="1527">
        <f t="shared" si="13"/>
        <v>7.3420096852300238</v>
      </c>
      <c r="L40" s="2">
        <f>ROUND((L31+L24)*LEFT(M40,5),0)</f>
        <v>13781</v>
      </c>
      <c r="M40" s="1240" t="str">
        <f>TEXT('MYP Assumptions'!F57,"0.00%")&amp;", no rate change"</f>
        <v>1.10%, no rate change</v>
      </c>
      <c r="O40" s="1527">
        <f t="shared" si="14"/>
        <v>1.3569407154778317E-2</v>
      </c>
      <c r="P40" s="2">
        <f>ROUND((P31+P24)*LEFT(Q40,5),0)</f>
        <v>13968</v>
      </c>
      <c r="Q40" s="1240" t="str">
        <f>TEXT('MYP Assumptions'!G57,"0.00%")&amp;", no rate change"</f>
        <v>1.10%, no rate change</v>
      </c>
      <c r="S40" s="83">
        <f t="shared" si="15"/>
        <v>-0.43835910652920962</v>
      </c>
      <c r="T40" s="2">
        <f>ROUND((T31+T24)*LEFT(U40,5),0)</f>
        <v>7845</v>
      </c>
      <c r="U40" s="81" t="str">
        <f>TEXT('MYP Assumptions'!H57,"0.00%")&amp;", no rate change"</f>
        <v>1.10%, no rate change</v>
      </c>
      <c r="W40" s="83">
        <f t="shared" si="16"/>
        <v>2.001274697259401E-2</v>
      </c>
      <c r="X40" s="2">
        <f>ROUND((X31+X24)*LEFT(Y40,5),0)</f>
        <v>8002</v>
      </c>
      <c r="Y40" s="81" t="str">
        <f>TEXT('MYP Assumptions'!I57,"0.00%")&amp;", no rate change"</f>
        <v>1.10%, no rate change</v>
      </c>
      <c r="AA40" s="83">
        <f t="shared" si="17"/>
        <v>1.9995001249687578E-2</v>
      </c>
      <c r="AB40" s="2">
        <f>ROUND((AB31+AB24)*LEFT(AC40,5),0)</f>
        <v>8162</v>
      </c>
      <c r="AC40" s="81" t="str">
        <f>TEXT('MYP Assumptions'!J57,"0.00%")&amp;", no rate change"</f>
        <v>1.10%, no rate change</v>
      </c>
    </row>
    <row r="41" spans="1:29" x14ac:dyDescent="0.25">
      <c r="A41" s="153"/>
      <c r="B41" s="1326" t="s">
        <v>91</v>
      </c>
      <c r="C41" s="1243" t="s">
        <v>93</v>
      </c>
      <c r="D41" s="2">
        <v>0</v>
      </c>
      <c r="E41" s="1249"/>
      <c r="F41" s="2"/>
      <c r="G41" s="1527" t="s">
        <v>936</v>
      </c>
      <c r="H41" s="2">
        <f>D41</f>
        <v>0</v>
      </c>
      <c r="I41" s="1240"/>
      <c r="J41" s="66"/>
      <c r="K41" s="1527" t="str">
        <f t="shared" si="13"/>
        <v>0.00%</v>
      </c>
      <c r="L41" s="2">
        <f>H41</f>
        <v>0</v>
      </c>
      <c r="M41" s="1240"/>
      <c r="O41" s="1527" t="str">
        <f t="shared" si="14"/>
        <v>0.00%</v>
      </c>
      <c r="P41" s="2">
        <f>L41</f>
        <v>0</v>
      </c>
      <c r="Q41" s="1240"/>
      <c r="S41" s="83" t="str">
        <f t="shared" si="15"/>
        <v>0.00%</v>
      </c>
      <c r="T41" s="2">
        <f>P41</f>
        <v>0</v>
      </c>
      <c r="U41" s="81" t="s">
        <v>166</v>
      </c>
      <c r="W41" s="83" t="str">
        <f t="shared" si="16"/>
        <v>0.00%</v>
      </c>
      <c r="X41" s="2">
        <f>T41</f>
        <v>0</v>
      </c>
      <c r="Y41" s="81" t="s">
        <v>166</v>
      </c>
      <c r="AA41" s="83" t="str">
        <f t="shared" si="17"/>
        <v>0.00%</v>
      </c>
      <c r="AB41" s="2">
        <f>X41</f>
        <v>0</v>
      </c>
      <c r="AC41" s="81" t="s">
        <v>166</v>
      </c>
    </row>
    <row r="42" spans="1:29" x14ac:dyDescent="0.25">
      <c r="A42" s="153"/>
      <c r="B42" s="1326"/>
      <c r="E42" s="1249"/>
      <c r="F42" s="2"/>
      <c r="G42" s="1527"/>
      <c r="H42" s="2"/>
      <c r="I42" s="1240"/>
      <c r="J42" s="66"/>
      <c r="K42" s="1527"/>
      <c r="L42" s="2"/>
      <c r="M42" s="1240"/>
      <c r="O42" s="1527"/>
      <c r="Q42" s="1240"/>
      <c r="S42" s="83"/>
      <c r="T42" s="2"/>
      <c r="U42" s="81"/>
      <c r="W42" s="83"/>
      <c r="X42" s="2"/>
      <c r="Y42" s="81"/>
      <c r="AA42" s="83"/>
      <c r="AB42" s="2"/>
      <c r="AC42" s="81"/>
    </row>
    <row r="43" spans="1:29" x14ac:dyDescent="0.25">
      <c r="A43" s="154"/>
      <c r="B43" s="1326"/>
      <c r="D43" s="8">
        <f>SUM(D34:D42)</f>
        <v>0</v>
      </c>
      <c r="E43" s="1249"/>
      <c r="F43" s="2"/>
      <c r="G43" s="1527" t="str">
        <f t="shared" ref="G43" si="18">IF(D43=0,"0.00%",(H43-D43)/D43)</f>
        <v>0.00%</v>
      </c>
      <c r="H43" s="8">
        <f>SUM(H34:H42)</f>
        <v>34070</v>
      </c>
      <c r="I43" s="1882">
        <f>+H43-D43</f>
        <v>34070</v>
      </c>
      <c r="J43" s="29"/>
      <c r="K43" s="1527">
        <f t="shared" si="13"/>
        <v>8.8065159964778399</v>
      </c>
      <c r="L43" s="8">
        <f>SUM(L34:L42)</f>
        <v>334108</v>
      </c>
      <c r="M43" s="1882">
        <f>+L43-H43</f>
        <v>300038</v>
      </c>
      <c r="O43" s="1527">
        <f t="shared" si="14"/>
        <v>0.11523220036634861</v>
      </c>
      <c r="P43" s="8">
        <f>SUM(P34:P42)</f>
        <v>372608</v>
      </c>
      <c r="Q43" s="1882">
        <f>+P43-L43</f>
        <v>38500</v>
      </c>
      <c r="S43" s="83">
        <f t="shared" si="15"/>
        <v>-0.38701799209893506</v>
      </c>
      <c r="T43" s="8">
        <f>SUM(T34:T42)</f>
        <v>228402</v>
      </c>
      <c r="U43" s="73"/>
      <c r="W43" s="83">
        <f t="shared" si="16"/>
        <v>6.2241136242239557E-2</v>
      </c>
      <c r="X43" s="8">
        <f>SUM(X34:X42)</f>
        <v>242618</v>
      </c>
      <c r="Y43" s="73"/>
      <c r="AA43" s="83">
        <f t="shared" si="17"/>
        <v>4.6068304907302841E-2</v>
      </c>
      <c r="AB43" s="8">
        <f>SUM(AB34:AB42)</f>
        <v>253795</v>
      </c>
      <c r="AC43" s="73"/>
    </row>
    <row r="44" spans="1:29" x14ac:dyDescent="0.25">
      <c r="A44" s="155"/>
      <c r="B44" s="1326"/>
      <c r="E44" s="1249"/>
      <c r="F44" s="2"/>
      <c r="H44" s="2"/>
      <c r="I44" s="1257"/>
      <c r="J44" s="66"/>
      <c r="L44" s="2"/>
      <c r="M44" s="1335"/>
      <c r="Q44" s="1335"/>
      <c r="T44" s="2"/>
      <c r="U44" s="73"/>
      <c r="X44" s="2"/>
      <c r="Y44" s="73"/>
      <c r="AB44" s="2"/>
      <c r="AC44" s="73"/>
    </row>
    <row r="45" spans="1:29" x14ac:dyDescent="0.25">
      <c r="A45" s="154"/>
      <c r="B45" s="1323" t="s">
        <v>26</v>
      </c>
      <c r="D45" s="8">
        <f>SUM(D43,D31,D24)</f>
        <v>0</v>
      </c>
      <c r="E45" s="1249"/>
      <c r="F45" s="2"/>
      <c r="G45" s="1527" t="str">
        <f>IF(D45=0,"0.00%",(H45-D45)/D45)</f>
        <v>0.00%</v>
      </c>
      <c r="H45" s="8">
        <f>SUM(H43,H31,H24)</f>
        <v>184833</v>
      </c>
      <c r="I45" s="1882">
        <f>+H45-D45</f>
        <v>184833</v>
      </c>
      <c r="J45" s="29"/>
      <c r="K45" s="1527">
        <f>IF(H45=0,"0.00%",(L45-H45)/H45)</f>
        <v>7.5859397401979081</v>
      </c>
      <c r="L45" s="8">
        <f>SUM(L43,L31,L24)</f>
        <v>1586965</v>
      </c>
      <c r="M45" s="1882">
        <f>+L45-H45</f>
        <v>1402132</v>
      </c>
      <c r="O45" s="1527">
        <f>IF(L45=0,"0.00%",(P45-L45)/L45)</f>
        <v>3.496611456459342E-2</v>
      </c>
      <c r="P45" s="8">
        <f>SUM(P43,P31,P24)</f>
        <v>1642455</v>
      </c>
      <c r="Q45" s="1882">
        <f>+P45-L45</f>
        <v>55490</v>
      </c>
      <c r="S45" s="83">
        <f>IF(P45=0,"0.00%",(T45-P45)/P45)</f>
        <v>-0.42672462868084665</v>
      </c>
      <c r="T45" s="8">
        <f>SUM(T43,T31,T24)</f>
        <v>941579</v>
      </c>
      <c r="U45" s="73"/>
      <c r="W45" s="83">
        <f>IF(T45=0,"0.00%",(X45-T45)/T45)</f>
        <v>3.0247063708939984E-2</v>
      </c>
      <c r="X45" s="8">
        <f>SUM(X43,X31,X24)</f>
        <v>970059</v>
      </c>
      <c r="Y45" s="73"/>
      <c r="AA45" s="83">
        <f>IF(X45=0,"0.00%",(AB45-X45)/X45)</f>
        <v>2.6519005545023549E-2</v>
      </c>
      <c r="AB45" s="8">
        <f>SUM(AB43,AB31,AB24)</f>
        <v>995784</v>
      </c>
      <c r="AC45" s="73"/>
    </row>
    <row r="46" spans="1:29" x14ac:dyDescent="0.25">
      <c r="A46" s="156"/>
      <c r="E46" s="1249"/>
      <c r="F46" s="2"/>
      <c r="H46" s="2"/>
      <c r="I46" s="1257"/>
      <c r="J46" s="66"/>
      <c r="L46" s="2"/>
      <c r="M46" s="1335"/>
      <c r="Q46" s="1335"/>
      <c r="T46" s="2"/>
      <c r="U46" s="73"/>
      <c r="X46" s="2"/>
      <c r="Y46" s="73"/>
      <c r="AB46" s="2"/>
      <c r="AC46" s="73"/>
    </row>
    <row r="47" spans="1:29" x14ac:dyDescent="0.25">
      <c r="A47" s="153"/>
      <c r="E47" s="1249"/>
      <c r="F47" s="2"/>
      <c r="H47" s="2"/>
      <c r="I47" s="1257"/>
      <c r="J47" s="66"/>
      <c r="L47" s="2"/>
      <c r="M47" s="1335"/>
      <c r="Q47" s="1335"/>
      <c r="T47" s="2"/>
      <c r="U47" s="73"/>
      <c r="X47" s="2"/>
      <c r="Y47" s="73"/>
      <c r="AB47" s="2"/>
      <c r="AC47" s="73"/>
    </row>
    <row r="48" spans="1:29" x14ac:dyDescent="0.25">
      <c r="A48" s="156"/>
      <c r="B48" s="1327" t="s">
        <v>25</v>
      </c>
      <c r="C48" s="1259"/>
      <c r="E48" s="1249"/>
      <c r="F48" s="2"/>
      <c r="H48" s="616"/>
      <c r="I48" s="1257"/>
      <c r="J48" s="66"/>
      <c r="L48" s="616"/>
      <c r="M48" s="1257"/>
      <c r="P48" s="616"/>
      <c r="Q48" s="1257"/>
      <c r="T48" s="2"/>
      <c r="U48" s="73"/>
      <c r="X48" s="2"/>
      <c r="Y48" s="73"/>
      <c r="AB48" s="2"/>
      <c r="AC48" s="73"/>
    </row>
    <row r="49" spans="1:29" x14ac:dyDescent="0.25">
      <c r="A49" s="153"/>
      <c r="B49" s="1326" t="s">
        <v>429</v>
      </c>
      <c r="C49" s="1243" t="s">
        <v>456</v>
      </c>
      <c r="D49" s="2">
        <v>230786</v>
      </c>
      <c r="E49" s="1249"/>
      <c r="F49" s="2"/>
      <c r="G49" s="1527">
        <f t="shared" ref="G49:G59" si="19">IF(D49=0,"0.00%",(H49-D49)/D49)</f>
        <v>0.12439662717842503</v>
      </c>
      <c r="H49" s="2">
        <v>259495</v>
      </c>
      <c r="I49" s="1257"/>
      <c r="J49" s="66"/>
      <c r="K49" s="1527">
        <f t="shared" ref="K49:K59" si="20">IF(H49=0,"0.00%",(L49-H49)/H49)</f>
        <v>-0.32561321027380102</v>
      </c>
      <c r="L49" s="2">
        <v>175000</v>
      </c>
      <c r="M49" s="1257"/>
      <c r="O49" s="1527">
        <f t="shared" ref="O49:O59" si="21">IF(L49=0,"0.00%",(P49-L49)/L49)</f>
        <v>0</v>
      </c>
      <c r="P49" s="2">
        <f>+L49*(1-$P$48)</f>
        <v>175000</v>
      </c>
      <c r="Q49" s="1257"/>
      <c r="S49" s="83">
        <f t="shared" ref="S49:S59" si="22">IF(P49=0,"0.00%",(T49-P49)/P49)</f>
        <v>2.7302857142857143E-2</v>
      </c>
      <c r="T49" s="2">
        <f>ROUND(P49*(LEFT(U49,5)+1),0)</f>
        <v>179778</v>
      </c>
      <c r="U49" s="81" t="str">
        <f>TEXT('MYP Assumptions'!H72,"0.00%")&amp;", CPI"</f>
        <v>2.73%, CPI</v>
      </c>
      <c r="W49" s="83">
        <f t="shared" ref="W49:W59" si="23">IF(T49=0,"0.00%",(X49-T49)/T49)</f>
        <v>2.7300337082401628E-2</v>
      </c>
      <c r="X49" s="2">
        <f>ROUND(T49*(LEFT(Y49,5)+1),0)</f>
        <v>184686</v>
      </c>
      <c r="Y49" s="81" t="str">
        <f>TEXT('MYP Assumptions'!I72,"0.00%")&amp;", CPI"</f>
        <v>2.73%, CPI</v>
      </c>
      <c r="AA49" s="83">
        <f t="shared" ref="AA49:AA59" si="24">IF(X49=0,"0.00%",(AB49-X49)/X49)</f>
        <v>2.7300390933801155E-2</v>
      </c>
      <c r="AB49" s="2">
        <f>ROUND(X49*(LEFT(AC49,5)+1),0)</f>
        <v>189728</v>
      </c>
      <c r="AC49" s="81" t="str">
        <f>TEXT('MYP Assumptions'!J72,"0.00%")&amp;", CPI"</f>
        <v>2.73%, CPI</v>
      </c>
    </row>
    <row r="50" spans="1:29" x14ac:dyDescent="0.25">
      <c r="A50" s="153"/>
      <c r="B50" s="1326" t="s">
        <v>257</v>
      </c>
      <c r="C50" s="1243" t="s">
        <v>880</v>
      </c>
      <c r="D50" s="2">
        <v>51275</v>
      </c>
      <c r="E50" s="1249"/>
      <c r="F50" s="2"/>
      <c r="G50" s="1527">
        <f t="shared" si="19"/>
        <v>5.3417844953681133E-2</v>
      </c>
      <c r="H50" s="2">
        <v>54014</v>
      </c>
      <c r="I50" s="1257"/>
      <c r="J50" s="66"/>
      <c r="K50" s="1527">
        <f t="shared" si="20"/>
        <v>-0.53715703336172105</v>
      </c>
      <c r="L50" s="2">
        <v>25000</v>
      </c>
      <c r="M50" s="1257"/>
      <c r="O50" s="1527">
        <f t="shared" si="21"/>
        <v>0</v>
      </c>
      <c r="P50" s="2">
        <f t="shared" ref="P50:P58" si="25">+L50*(1-$P$48)</f>
        <v>25000</v>
      </c>
      <c r="Q50" s="1257"/>
      <c r="S50" s="83">
        <f t="shared" si="22"/>
        <v>2.7320000000000001E-2</v>
      </c>
      <c r="T50" s="2">
        <f t="shared" ref="T50:T58" si="26">ROUND(P50*(LEFT(U50,5)+1),0)</f>
        <v>25683</v>
      </c>
      <c r="U50" s="81" t="str">
        <f>TEXT('MYP Assumptions'!H72,"0.00%")&amp;", CPI"</f>
        <v>2.73%, CPI</v>
      </c>
      <c r="W50" s="83">
        <f t="shared" si="23"/>
        <v>2.7294319199470465E-2</v>
      </c>
      <c r="X50" s="2">
        <f t="shared" ref="X50:X58" si="27">ROUND(T50*(LEFT(Y50,5)+1),0)</f>
        <v>26384</v>
      </c>
      <c r="Y50" s="81" t="str">
        <f>TEXT('MYP Assumptions'!I72,"0.00%")&amp;", CPI"</f>
        <v>2.73%, CPI</v>
      </c>
      <c r="AA50" s="83">
        <f t="shared" si="24"/>
        <v>2.7289266221952699E-2</v>
      </c>
      <c r="AB50" s="2">
        <f t="shared" ref="AB50:AB58" si="28">ROUND(X50*(LEFT(AC50,5)+1),0)</f>
        <v>27104</v>
      </c>
      <c r="AC50" s="81" t="str">
        <f>TEXT('MYP Assumptions'!J72,"0.00%")&amp;", CPI"</f>
        <v>2.73%, CPI</v>
      </c>
    </row>
    <row r="51" spans="1:29" x14ac:dyDescent="0.25">
      <c r="A51" s="153"/>
      <c r="B51" s="1326" t="s">
        <v>257</v>
      </c>
      <c r="C51" s="1243" t="s">
        <v>881</v>
      </c>
      <c r="D51" s="2">
        <v>32930</v>
      </c>
      <c r="E51" s="1249"/>
      <c r="F51" s="2"/>
      <c r="G51" s="1527">
        <f t="shared" si="19"/>
        <v>0.18202247191011237</v>
      </c>
      <c r="H51" s="2">
        <v>38924</v>
      </c>
      <c r="I51" s="1257"/>
      <c r="J51" s="66"/>
      <c r="K51" s="1527">
        <f t="shared" si="20"/>
        <v>-0.61463364505189599</v>
      </c>
      <c r="L51" s="2">
        <v>15000</v>
      </c>
      <c r="M51" s="1257"/>
      <c r="O51" s="1527">
        <f t="shared" si="21"/>
        <v>0</v>
      </c>
      <c r="P51" s="2">
        <f t="shared" si="25"/>
        <v>15000</v>
      </c>
      <c r="Q51" s="1257"/>
      <c r="S51" s="83">
        <f t="shared" si="22"/>
        <v>2.7333333333333334E-2</v>
      </c>
      <c r="T51" s="2">
        <f t="shared" si="26"/>
        <v>15410</v>
      </c>
      <c r="U51" s="81" t="str">
        <f>TEXT('MYP Assumptions'!H72,"0.00%")&amp;", CPI"</f>
        <v>2.73%, CPI</v>
      </c>
      <c r="W51" s="83">
        <f t="shared" si="23"/>
        <v>2.7319922128487995E-2</v>
      </c>
      <c r="X51" s="2">
        <f t="shared" si="27"/>
        <v>15831</v>
      </c>
      <c r="Y51" s="81" t="str">
        <f>TEXT('MYP Assumptions'!I72,"0.00%")&amp;", CPI"</f>
        <v>2.73%, CPI</v>
      </c>
      <c r="AA51" s="83">
        <f t="shared" si="24"/>
        <v>2.7288231949971573E-2</v>
      </c>
      <c r="AB51" s="2">
        <f t="shared" si="28"/>
        <v>16263</v>
      </c>
      <c r="AC51" s="81" t="str">
        <f>TEXT('MYP Assumptions'!J72,"0.00%")&amp;", CPI"</f>
        <v>2.73%, CPI</v>
      </c>
    </row>
    <row r="52" spans="1:29" x14ac:dyDescent="0.25">
      <c r="A52" s="153"/>
      <c r="B52" s="1326" t="s">
        <v>257</v>
      </c>
      <c r="C52" s="1243" t="s">
        <v>344</v>
      </c>
      <c r="D52" s="2">
        <v>47030</v>
      </c>
      <c r="E52" s="1249"/>
      <c r="F52" s="2"/>
      <c r="G52" s="1527">
        <f t="shared" si="19"/>
        <v>-0.48968743355305122</v>
      </c>
      <c r="H52" s="2">
        <v>24000</v>
      </c>
      <c r="I52" s="1257"/>
      <c r="J52" s="66"/>
      <c r="K52" s="1527">
        <f t="shared" si="20"/>
        <v>-0.375</v>
      </c>
      <c r="L52" s="2">
        <v>15000</v>
      </c>
      <c r="M52" s="1257"/>
      <c r="O52" s="1527">
        <f t="shared" si="21"/>
        <v>0</v>
      </c>
      <c r="P52" s="2">
        <f t="shared" si="25"/>
        <v>15000</v>
      </c>
      <c r="Q52" s="1257"/>
      <c r="S52" s="83">
        <f t="shared" si="22"/>
        <v>2.7333333333333334E-2</v>
      </c>
      <c r="T52" s="2">
        <f t="shared" si="26"/>
        <v>15410</v>
      </c>
      <c r="U52" s="81" t="str">
        <f>TEXT('MYP Assumptions'!H72,"0.00%")&amp;", CPI"</f>
        <v>2.73%, CPI</v>
      </c>
      <c r="W52" s="83">
        <f t="shared" si="23"/>
        <v>2.7319922128487995E-2</v>
      </c>
      <c r="X52" s="2">
        <f t="shared" si="27"/>
        <v>15831</v>
      </c>
      <c r="Y52" s="81" t="str">
        <f>TEXT('MYP Assumptions'!I72,"0.00%")&amp;", CPI"</f>
        <v>2.73%, CPI</v>
      </c>
      <c r="AA52" s="83">
        <f t="shared" si="24"/>
        <v>2.7288231949971573E-2</v>
      </c>
      <c r="AB52" s="2">
        <f t="shared" si="28"/>
        <v>16263</v>
      </c>
      <c r="AC52" s="81" t="str">
        <f>TEXT('MYP Assumptions'!J72,"0.00%")&amp;", CPI"</f>
        <v>2.73%, CPI</v>
      </c>
    </row>
    <row r="53" spans="1:29" x14ac:dyDescent="0.25">
      <c r="A53" s="153"/>
      <c r="B53" s="1326" t="s">
        <v>257</v>
      </c>
      <c r="C53" s="1243" t="s">
        <v>882</v>
      </c>
      <c r="D53" s="2">
        <v>16306</v>
      </c>
      <c r="E53" s="1249"/>
      <c r="F53" s="2"/>
      <c r="G53" s="1527">
        <f t="shared" si="19"/>
        <v>-0.38979516742303444</v>
      </c>
      <c r="H53" s="2">
        <v>9950</v>
      </c>
      <c r="I53" s="1257"/>
      <c r="J53" s="66"/>
      <c r="K53" s="1527">
        <f t="shared" si="20"/>
        <v>-0.49748743718592964</v>
      </c>
      <c r="L53" s="2">
        <v>5000</v>
      </c>
      <c r="M53" s="1257"/>
      <c r="O53" s="1527">
        <f t="shared" si="21"/>
        <v>0</v>
      </c>
      <c r="P53" s="2">
        <f>+L53*(1-$P$48)</f>
        <v>5000</v>
      </c>
      <c r="Q53" s="1257"/>
      <c r="S53" s="83">
        <f t="shared" si="22"/>
        <v>2.7400000000000001E-2</v>
      </c>
      <c r="T53" s="2">
        <f t="shared" si="26"/>
        <v>5137</v>
      </c>
      <c r="U53" s="81" t="str">
        <f>TEXT('MYP Assumptions'!H72,"0.00%")&amp;", CPI"</f>
        <v>2.73%, CPI</v>
      </c>
      <c r="W53" s="83">
        <f t="shared" si="23"/>
        <v>2.7253260657971578E-2</v>
      </c>
      <c r="X53" s="2">
        <f t="shared" si="27"/>
        <v>5277</v>
      </c>
      <c r="Y53" s="81" t="str">
        <f>TEXT('MYP Assumptions'!I72,"0.00%")&amp;", CPI"</f>
        <v>2.73%, CPI</v>
      </c>
      <c r="AA53" s="83">
        <f t="shared" si="24"/>
        <v>2.7288231949971573E-2</v>
      </c>
      <c r="AB53" s="2">
        <f t="shared" si="28"/>
        <v>5421</v>
      </c>
      <c r="AC53" s="81" t="str">
        <f>TEXT('MYP Assumptions'!J72,"0.00%")&amp;", CPI"</f>
        <v>2.73%, CPI</v>
      </c>
    </row>
    <row r="54" spans="1:29" x14ac:dyDescent="0.25">
      <c r="A54" s="153"/>
      <c r="B54" s="1326" t="s">
        <v>257</v>
      </c>
      <c r="C54" s="1243" t="s">
        <v>883</v>
      </c>
      <c r="D54" s="2">
        <v>5323</v>
      </c>
      <c r="E54" s="1249"/>
      <c r="F54" s="2"/>
      <c r="G54" s="1527">
        <f t="shared" si="19"/>
        <v>-4.734172459139583E-2</v>
      </c>
      <c r="H54" s="2">
        <v>5071</v>
      </c>
      <c r="I54" s="1257"/>
      <c r="J54" s="66"/>
      <c r="K54" s="1527">
        <f t="shared" si="20"/>
        <v>-0.11260106487872215</v>
      </c>
      <c r="L54" s="2">
        <v>4500</v>
      </c>
      <c r="M54" s="1257"/>
      <c r="O54" s="1527">
        <f t="shared" si="21"/>
        <v>0</v>
      </c>
      <c r="P54" s="2">
        <f t="shared" si="25"/>
        <v>4500</v>
      </c>
      <c r="Q54" s="1257"/>
      <c r="S54" s="83">
        <f t="shared" si="22"/>
        <v>2.7333333333333334E-2</v>
      </c>
      <c r="T54" s="2">
        <f t="shared" si="26"/>
        <v>4623</v>
      </c>
      <c r="U54" s="81" t="str">
        <f>TEXT('MYP Assumptions'!H72,"0.00%")&amp;", CPI"</f>
        <v>2.73%, CPI</v>
      </c>
      <c r="W54" s="83">
        <f t="shared" si="23"/>
        <v>2.7255029201817001E-2</v>
      </c>
      <c r="X54" s="2">
        <f t="shared" si="27"/>
        <v>4749</v>
      </c>
      <c r="Y54" s="81" t="str">
        <f>TEXT('MYP Assumptions'!I72,"0.00%")&amp;", CPI"</f>
        <v>2.73%, CPI</v>
      </c>
      <c r="AA54" s="83">
        <f t="shared" si="24"/>
        <v>2.7374184038745E-2</v>
      </c>
      <c r="AB54" s="2">
        <f t="shared" si="28"/>
        <v>4879</v>
      </c>
      <c r="AC54" s="81" t="str">
        <f>TEXT('MYP Assumptions'!J72,"0.00%")&amp;", CPI"</f>
        <v>2.73%, CPI</v>
      </c>
    </row>
    <row r="55" spans="1:29" x14ac:dyDescent="0.25">
      <c r="A55" s="153"/>
      <c r="B55" s="1326"/>
      <c r="E55" s="1249"/>
      <c r="F55" s="2"/>
      <c r="G55" s="1527" t="str">
        <f t="shared" si="19"/>
        <v>0.00%</v>
      </c>
      <c r="H55" s="2"/>
      <c r="I55" s="1257"/>
      <c r="J55" s="66"/>
      <c r="K55" s="1527" t="str">
        <f t="shared" si="20"/>
        <v>0.00%</v>
      </c>
      <c r="L55" s="2">
        <f t="shared" ref="L55" si="29">+H55*(1-$L$48)</f>
        <v>0</v>
      </c>
      <c r="M55" s="1257"/>
      <c r="O55" s="1527" t="str">
        <f t="shared" si="21"/>
        <v>0.00%</v>
      </c>
      <c r="P55" s="2">
        <f t="shared" si="25"/>
        <v>0</v>
      </c>
      <c r="Q55" s="1257"/>
      <c r="S55" s="83"/>
      <c r="T55" s="2"/>
      <c r="U55" s="81"/>
      <c r="W55" s="83"/>
      <c r="X55" s="2"/>
      <c r="Y55" s="81"/>
      <c r="AA55" s="83"/>
      <c r="AB55" s="2"/>
      <c r="AC55" s="81"/>
    </row>
    <row r="56" spans="1:29" hidden="1" x14ac:dyDescent="0.25">
      <c r="A56" s="153"/>
      <c r="B56" s="1326"/>
      <c r="E56" s="1249"/>
      <c r="F56" s="2"/>
      <c r="G56" s="1527" t="str">
        <f t="shared" si="19"/>
        <v>0.00%</v>
      </c>
      <c r="H56" s="2"/>
      <c r="I56" s="1240"/>
      <c r="J56" s="66"/>
      <c r="K56" s="1527" t="str">
        <f t="shared" si="20"/>
        <v>0.00%</v>
      </c>
      <c r="L56" s="2">
        <f t="shared" ref="L56:L58" si="30">ROUND(H56*(LEFT(M56,5)+1),0)</f>
        <v>0</v>
      </c>
      <c r="M56" s="1240" t="str">
        <f>TEXT('MYP Assumptions'!$E$72,"0.00%")&amp;", CPI"</f>
        <v>3.11%, CPI</v>
      </c>
      <c r="O56" s="1527" t="str">
        <f t="shared" si="21"/>
        <v>0.00%</v>
      </c>
      <c r="P56" s="2">
        <f t="shared" si="25"/>
        <v>0</v>
      </c>
      <c r="Q56" s="1257" t="str">
        <f t="shared" ref="Q56:Q58" si="31">TEXT($P$48,"0.00%")&amp;"   reduction"</f>
        <v>0.00%   reduction</v>
      </c>
      <c r="S56" s="83"/>
      <c r="T56" s="2"/>
      <c r="U56" s="81"/>
      <c r="W56" s="83"/>
      <c r="X56" s="2"/>
      <c r="Y56" s="81"/>
      <c r="AA56" s="83"/>
      <c r="AB56" s="2"/>
      <c r="AC56" s="81"/>
    </row>
    <row r="57" spans="1:29" hidden="1" x14ac:dyDescent="0.25">
      <c r="A57" s="153"/>
      <c r="B57" s="1326"/>
      <c r="E57" s="1249"/>
      <c r="F57" s="2"/>
      <c r="G57" s="1527" t="str">
        <f t="shared" si="19"/>
        <v>0.00%</v>
      </c>
      <c r="H57" s="2"/>
      <c r="I57" s="1240"/>
      <c r="J57" s="66"/>
      <c r="K57" s="1527" t="str">
        <f t="shared" si="20"/>
        <v>0.00%</v>
      </c>
      <c r="L57" s="2">
        <f t="shared" si="30"/>
        <v>0</v>
      </c>
      <c r="M57" s="1240" t="str">
        <f>TEXT('MYP Assumptions'!$E$72,"0.00%")&amp;", CPI"</f>
        <v>3.11%, CPI</v>
      </c>
      <c r="O57" s="1527" t="str">
        <f t="shared" si="21"/>
        <v>0.00%</v>
      </c>
      <c r="P57" s="2">
        <f t="shared" si="25"/>
        <v>0</v>
      </c>
      <c r="Q57" s="1257" t="str">
        <f t="shared" si="31"/>
        <v>0.00%   reduction</v>
      </c>
      <c r="S57" s="83"/>
      <c r="T57" s="2"/>
      <c r="U57" s="81"/>
      <c r="W57" s="83"/>
      <c r="X57" s="2"/>
      <c r="Y57" s="81"/>
      <c r="AA57" s="83"/>
      <c r="AB57" s="2"/>
      <c r="AC57" s="81"/>
    </row>
    <row r="58" spans="1:29" hidden="1" x14ac:dyDescent="0.25">
      <c r="A58" s="153"/>
      <c r="B58" s="1326"/>
      <c r="E58" s="1249"/>
      <c r="F58" s="2"/>
      <c r="G58" s="1527" t="str">
        <f t="shared" si="19"/>
        <v>0.00%</v>
      </c>
      <c r="H58" s="2"/>
      <c r="I58" s="1240"/>
      <c r="J58" s="66"/>
      <c r="K58" s="1527" t="str">
        <f t="shared" si="20"/>
        <v>0.00%</v>
      </c>
      <c r="L58" s="2">
        <f t="shared" si="30"/>
        <v>0</v>
      </c>
      <c r="M58" s="1240" t="str">
        <f>TEXT('MYP Assumptions'!$E$72,"0.00%")&amp;", CPI"</f>
        <v>3.11%, CPI</v>
      </c>
      <c r="O58" s="1527" t="str">
        <f t="shared" si="21"/>
        <v>0.00%</v>
      </c>
      <c r="P58" s="2">
        <f t="shared" si="25"/>
        <v>0</v>
      </c>
      <c r="Q58" s="1257" t="str">
        <f t="shared" si="31"/>
        <v>0.00%   reduction</v>
      </c>
      <c r="S58" s="83" t="str">
        <f t="shared" si="22"/>
        <v>0.00%</v>
      </c>
      <c r="T58" s="2">
        <f t="shared" si="26"/>
        <v>0</v>
      </c>
      <c r="U58" s="81" t="str">
        <f>TEXT('MYP Assumptions'!H72,"0.00%")&amp;", CPI"</f>
        <v>2.73%, CPI</v>
      </c>
      <c r="W58" s="83" t="str">
        <f t="shared" si="23"/>
        <v>0.00%</v>
      </c>
      <c r="X58" s="2">
        <f t="shared" si="27"/>
        <v>0</v>
      </c>
      <c r="Y58" s="81" t="str">
        <f>TEXT('MYP Assumptions'!I72,"0.00%")&amp;", CPI"</f>
        <v>2.73%, CPI</v>
      </c>
      <c r="AA58" s="83" t="str">
        <f t="shared" si="24"/>
        <v>0.00%</v>
      </c>
      <c r="AB58" s="2">
        <f t="shared" si="28"/>
        <v>0</v>
      </c>
      <c r="AC58" s="81" t="str">
        <f>TEXT('MYP Assumptions'!J72,"0.00%")&amp;", CPI"</f>
        <v>2.73%, CPI</v>
      </c>
    </row>
    <row r="59" spans="1:29" x14ac:dyDescent="0.25">
      <c r="A59" s="154"/>
      <c r="B59" s="1243"/>
      <c r="D59" s="8">
        <f>SUM(D49:D58)</f>
        <v>383650</v>
      </c>
      <c r="E59" s="1249"/>
      <c r="F59" s="2"/>
      <c r="G59" s="1527">
        <f t="shared" si="19"/>
        <v>2.0341457057213606E-2</v>
      </c>
      <c r="H59" s="8">
        <f>SUM(H49:H58)</f>
        <v>391454</v>
      </c>
      <c r="I59" s="1882">
        <f>+H59-D59</f>
        <v>7804</v>
      </c>
      <c r="J59" s="29"/>
      <c r="K59" s="1527">
        <f t="shared" si="20"/>
        <v>-0.3881784322040393</v>
      </c>
      <c r="L59" s="8">
        <f>SUM(L49:L58)</f>
        <v>239500</v>
      </c>
      <c r="M59" s="1882">
        <f>+L59-H59</f>
        <v>-151954</v>
      </c>
      <c r="O59" s="1527">
        <f t="shared" si="21"/>
        <v>0</v>
      </c>
      <c r="P59" s="8">
        <f>SUM(P49:P58)</f>
        <v>239500</v>
      </c>
      <c r="Q59" s="1882">
        <f>+P59-L59</f>
        <v>0</v>
      </c>
      <c r="S59" s="83">
        <f t="shared" si="22"/>
        <v>2.7311064718162838E-2</v>
      </c>
      <c r="T59" s="8">
        <f>SUM(T49:T58)</f>
        <v>246041</v>
      </c>
      <c r="U59" s="73"/>
      <c r="W59" s="83">
        <f t="shared" si="23"/>
        <v>2.7300327994114804E-2</v>
      </c>
      <c r="X59" s="8">
        <f>SUM(X49:X58)</f>
        <v>252758</v>
      </c>
      <c r="Y59" s="73"/>
      <c r="AA59" s="83">
        <f t="shared" si="24"/>
        <v>2.7298839205880724E-2</v>
      </c>
      <c r="AB59" s="8">
        <f>SUM(AB49:AB58)</f>
        <v>259658</v>
      </c>
      <c r="AC59" s="73"/>
    </row>
    <row r="60" spans="1:29" x14ac:dyDescent="0.25">
      <c r="A60" s="153"/>
      <c r="E60" s="1249"/>
      <c r="F60" s="2"/>
      <c r="H60" s="2"/>
      <c r="I60" s="1257"/>
      <c r="J60" s="66"/>
      <c r="L60" s="2"/>
      <c r="M60" s="1257"/>
      <c r="Q60" s="1335"/>
      <c r="T60" s="2"/>
      <c r="U60" s="73"/>
      <c r="X60" s="2"/>
      <c r="Y60" s="73"/>
      <c r="AB60" s="2"/>
      <c r="AC60" s="73"/>
    </row>
    <row r="61" spans="1:29" s="4" customFormat="1" x14ac:dyDescent="0.25">
      <c r="A61" s="151"/>
      <c r="B61" s="1323" t="s">
        <v>16</v>
      </c>
      <c r="C61" s="1259"/>
      <c r="D61" s="6"/>
      <c r="E61" s="1250"/>
      <c r="F61" s="6"/>
      <c r="G61" s="1539"/>
      <c r="H61" s="616"/>
      <c r="I61" s="1257"/>
      <c r="J61" s="58"/>
      <c r="K61" s="1571"/>
      <c r="L61" s="616"/>
      <c r="M61" s="1257"/>
      <c r="O61" s="1571"/>
      <c r="P61" s="616"/>
      <c r="Q61" s="1257"/>
      <c r="R61" s="111"/>
      <c r="U61" s="71"/>
      <c r="Y61" s="71"/>
      <c r="AC61" s="71"/>
    </row>
    <row r="62" spans="1:29" x14ac:dyDescent="0.25">
      <c r="A62" s="153"/>
      <c r="B62" s="1326">
        <v>5213</v>
      </c>
      <c r="C62" s="1243" t="s">
        <v>262</v>
      </c>
      <c r="D62" s="2">
        <v>33201</v>
      </c>
      <c r="E62" s="1249"/>
      <c r="F62" s="2"/>
      <c r="G62" s="1527">
        <f t="shared" ref="G62:G67" si="32">IF(D62=0,"0.00%",(H62-D62)/D62)</f>
        <v>0.15960362639679529</v>
      </c>
      <c r="H62" s="2">
        <v>38500</v>
      </c>
      <c r="I62" s="1257"/>
      <c r="J62" s="66"/>
      <c r="K62" s="1527">
        <f t="shared" ref="K62:K75" si="33">IF(H62=0,"0.00%",(L62-H62)/H62)</f>
        <v>-0.48051948051948051</v>
      </c>
      <c r="L62" s="2">
        <v>20000</v>
      </c>
      <c r="M62" s="1257"/>
      <c r="O62" s="1527">
        <f t="shared" ref="O62:O75" si="34">IF(L62=0,"0.00%",(P62-L62)/L62)</f>
        <v>0</v>
      </c>
      <c r="P62" s="2">
        <f>+L62*(1-$P$61)</f>
        <v>20000</v>
      </c>
      <c r="Q62" s="1257"/>
      <c r="S62" s="83">
        <f t="shared" ref="S62:S75" si="35">IF(P62=0,"0.00%",(T62-P62)/P62)</f>
        <v>2.7300000000000001E-2</v>
      </c>
      <c r="T62" s="2">
        <f>ROUND(P62*(LEFT(U62,5)+1),0)</f>
        <v>20546</v>
      </c>
      <c r="U62" s="81" t="str">
        <f>TEXT('MYP Assumptions'!H72,"0.00%")&amp;", CPI"</f>
        <v>2.73%, CPI</v>
      </c>
      <c r="W62" s="83">
        <f t="shared" ref="W62:W75" si="36">IF(T62=0,"0.00%",(X62-T62)/T62)</f>
        <v>2.7304584834030955E-2</v>
      </c>
      <c r="X62" s="2">
        <f>ROUND(T62*(LEFT(Y62,5)+1),0)</f>
        <v>21107</v>
      </c>
      <c r="Y62" s="81" t="str">
        <f>TEXT('MYP Assumptions'!I72,"0.00%")&amp;", CPI"</f>
        <v>2.73%, CPI</v>
      </c>
      <c r="AA62" s="83">
        <f t="shared" ref="AA62:AA75" si="37">IF(X62=0,"0.00%",(AB62-X62)/X62)</f>
        <v>2.7289524802198324E-2</v>
      </c>
      <c r="AB62" s="2">
        <f>ROUND(X62*(LEFT(AC62,5)+1),0)</f>
        <v>21683</v>
      </c>
      <c r="AC62" s="81" t="str">
        <f>TEXT('MYP Assumptions'!J72,"0.00%")&amp;", CPI"</f>
        <v>2.73%, CPI</v>
      </c>
    </row>
    <row r="63" spans="1:29" x14ac:dyDescent="0.25">
      <c r="A63" s="153"/>
      <c r="B63" s="1326">
        <v>5310</v>
      </c>
      <c r="C63" s="1243" t="s">
        <v>12</v>
      </c>
      <c r="D63" s="2">
        <v>16580</v>
      </c>
      <c r="E63" s="1249"/>
      <c r="F63" s="2"/>
      <c r="G63" s="1527">
        <f t="shared" si="32"/>
        <v>-6.3510253317249701E-2</v>
      </c>
      <c r="H63" s="2">
        <v>15527</v>
      </c>
      <c r="I63" s="1240"/>
      <c r="J63" s="66"/>
      <c r="K63" s="1527">
        <f t="shared" si="33"/>
        <v>-0.35596058478778903</v>
      </c>
      <c r="L63" s="2">
        <v>10000</v>
      </c>
      <c r="M63" s="1257"/>
      <c r="O63" s="1527">
        <f t="shared" si="34"/>
        <v>0</v>
      </c>
      <c r="P63" s="2">
        <f t="shared" ref="P63:P73" si="38">+L63*(1-$P$61)</f>
        <v>10000</v>
      </c>
      <c r="Q63" s="1257"/>
      <c r="S63" s="83">
        <f t="shared" si="35"/>
        <v>2.7300000000000001E-2</v>
      </c>
      <c r="T63" s="2">
        <f t="shared" ref="T63:T74" si="39">ROUND(P63*(LEFT(U63,5)+1),0)</f>
        <v>10273</v>
      </c>
      <c r="U63" s="81" t="str">
        <f>TEXT('MYP Assumptions'!H72,"0.00%")&amp;", CPI"</f>
        <v>2.73%, CPI</v>
      </c>
      <c r="W63" s="83">
        <f t="shared" si="36"/>
        <v>2.7255913559816995E-2</v>
      </c>
      <c r="X63" s="2">
        <f t="shared" ref="X63:X74" si="40">ROUND(T63*(LEFT(Y63,5)+1),0)</f>
        <v>10553</v>
      </c>
      <c r="Y63" s="81" t="str">
        <f>TEXT('MYP Assumptions'!I72,"0.00%")&amp;", CPI"</f>
        <v>2.73%, CPI</v>
      </c>
      <c r="AA63" s="83">
        <f t="shared" si="37"/>
        <v>2.7290817776935469E-2</v>
      </c>
      <c r="AB63" s="2">
        <f t="shared" ref="AB63:AB74" si="41">ROUND(X63*(LEFT(AC63,5)+1),0)</f>
        <v>10841</v>
      </c>
      <c r="AC63" s="81" t="str">
        <f>TEXT('MYP Assumptions'!J72,"0.00%")&amp;", CPI"</f>
        <v>2.73%, CPI</v>
      </c>
    </row>
    <row r="64" spans="1:29" x14ac:dyDescent="0.25">
      <c r="A64" s="153"/>
      <c r="B64" s="1326">
        <v>5601</v>
      </c>
      <c r="C64" s="1243" t="s">
        <v>335</v>
      </c>
      <c r="D64" s="2">
        <v>970</v>
      </c>
      <c r="E64" s="1249"/>
      <c r="F64" s="2"/>
      <c r="G64" s="1527">
        <f t="shared" si="32"/>
        <v>3.0927835051546393E-2</v>
      </c>
      <c r="H64" s="2">
        <v>1000</v>
      </c>
      <c r="I64" s="1240"/>
      <c r="J64" s="66"/>
      <c r="K64" s="1527">
        <f t="shared" si="33"/>
        <v>0</v>
      </c>
      <c r="L64" s="2">
        <f t="shared" ref="L64:L69" si="42">+H64*(1-$L$61)</f>
        <v>1000</v>
      </c>
      <c r="M64" s="1257"/>
      <c r="O64" s="1527">
        <f t="shared" si="34"/>
        <v>0</v>
      </c>
      <c r="P64" s="2">
        <f t="shared" si="38"/>
        <v>1000</v>
      </c>
      <c r="Q64" s="1257"/>
      <c r="S64" s="83">
        <f t="shared" si="35"/>
        <v>2.7E-2</v>
      </c>
      <c r="T64" s="2">
        <f t="shared" si="39"/>
        <v>1027</v>
      </c>
      <c r="U64" s="81" t="str">
        <f>TEXT('MYP Assumptions'!H72,"0.00%")&amp;", CPI"</f>
        <v>2.73%, CPI</v>
      </c>
      <c r="W64" s="83">
        <f t="shared" si="36"/>
        <v>2.7263875365141188E-2</v>
      </c>
      <c r="X64" s="2">
        <f t="shared" si="40"/>
        <v>1055</v>
      </c>
      <c r="Y64" s="81" t="str">
        <f>TEXT('MYP Assumptions'!I72,"0.00%")&amp;", CPI"</f>
        <v>2.73%, CPI</v>
      </c>
      <c r="AA64" s="83">
        <f t="shared" si="37"/>
        <v>2.7488151658767772E-2</v>
      </c>
      <c r="AB64" s="2">
        <f t="shared" si="41"/>
        <v>1084</v>
      </c>
      <c r="AC64" s="81" t="str">
        <f>TEXT('MYP Assumptions'!J72,"0.00%")&amp;", CPI"</f>
        <v>2.73%, CPI</v>
      </c>
    </row>
    <row r="65" spans="1:29" x14ac:dyDescent="0.25">
      <c r="A65" s="153"/>
      <c r="B65" s="1326">
        <v>5603</v>
      </c>
      <c r="C65" s="1243" t="s">
        <v>452</v>
      </c>
      <c r="D65" s="2">
        <v>7102</v>
      </c>
      <c r="E65" s="1249"/>
      <c r="F65" s="2"/>
      <c r="G65" s="1527">
        <f t="shared" si="32"/>
        <v>-0.3663756688256829</v>
      </c>
      <c r="H65" s="2">
        <v>4500</v>
      </c>
      <c r="I65" s="1240"/>
      <c r="J65" s="66"/>
      <c r="K65" s="1527">
        <f t="shared" si="33"/>
        <v>0</v>
      </c>
      <c r="L65" s="2">
        <f t="shared" si="42"/>
        <v>4500</v>
      </c>
      <c r="M65" s="1257"/>
      <c r="O65" s="1527">
        <f t="shared" si="34"/>
        <v>0</v>
      </c>
      <c r="P65" s="2">
        <f t="shared" si="38"/>
        <v>4500</v>
      </c>
      <c r="Q65" s="1257"/>
      <c r="S65" s="83">
        <f t="shared" si="35"/>
        <v>2.7333333333333334E-2</v>
      </c>
      <c r="T65" s="2">
        <f t="shared" si="39"/>
        <v>4623</v>
      </c>
      <c r="U65" s="81" t="str">
        <f>TEXT('MYP Assumptions'!H72,"0.00%")&amp;", CPI"</f>
        <v>2.73%, CPI</v>
      </c>
      <c r="W65" s="83">
        <f t="shared" si="36"/>
        <v>2.7255029201817001E-2</v>
      </c>
      <c r="X65" s="2">
        <f t="shared" si="40"/>
        <v>4749</v>
      </c>
      <c r="Y65" s="81" t="str">
        <f>TEXT('MYP Assumptions'!I72,"0.00%")&amp;", CPI"</f>
        <v>2.73%, CPI</v>
      </c>
      <c r="AA65" s="83">
        <f t="shared" si="37"/>
        <v>2.7374184038745E-2</v>
      </c>
      <c r="AB65" s="2">
        <f t="shared" si="41"/>
        <v>4879</v>
      </c>
      <c r="AC65" s="81" t="str">
        <f>TEXT('MYP Assumptions'!J72,"0.00%")&amp;", CPI"</f>
        <v>2.73%, CPI</v>
      </c>
    </row>
    <row r="66" spans="1:29" x14ac:dyDescent="0.25">
      <c r="A66" s="153"/>
      <c r="B66" s="1326">
        <v>5604</v>
      </c>
      <c r="C66" s="1243" t="s">
        <v>453</v>
      </c>
      <c r="D66" s="2">
        <v>10600</v>
      </c>
      <c r="E66" s="1249"/>
      <c r="F66" s="2"/>
      <c r="G66" s="1527">
        <f t="shared" si="32"/>
        <v>-0.10377358490566038</v>
      </c>
      <c r="H66" s="2">
        <v>9500</v>
      </c>
      <c r="I66" s="1240"/>
      <c r="J66" s="66"/>
      <c r="K66" s="1527">
        <f t="shared" si="33"/>
        <v>0</v>
      </c>
      <c r="L66" s="2">
        <f t="shared" si="42"/>
        <v>9500</v>
      </c>
      <c r="M66" s="1257"/>
      <c r="O66" s="1527">
        <f t="shared" si="34"/>
        <v>0</v>
      </c>
      <c r="P66" s="2">
        <f t="shared" si="38"/>
        <v>9500</v>
      </c>
      <c r="Q66" s="1257"/>
      <c r="S66" s="83">
        <f t="shared" si="35"/>
        <v>2.7263157894736843E-2</v>
      </c>
      <c r="T66" s="2">
        <f t="shared" si="39"/>
        <v>9759</v>
      </c>
      <c r="U66" s="81" t="str">
        <f>TEXT('MYP Assumptions'!H72,"0.00%")&amp;", CPI"</f>
        <v>2.73%, CPI</v>
      </c>
      <c r="W66" s="83">
        <f t="shared" si="36"/>
        <v>2.7256891074905216E-2</v>
      </c>
      <c r="X66" s="2">
        <f t="shared" si="40"/>
        <v>10025</v>
      </c>
      <c r="Y66" s="81" t="str">
        <f>TEXT('MYP Assumptions'!I72,"0.00%")&amp;", CPI"</f>
        <v>2.73%, CPI</v>
      </c>
      <c r="AA66" s="83">
        <f t="shared" si="37"/>
        <v>2.7331670822942643E-2</v>
      </c>
      <c r="AB66" s="2">
        <f t="shared" si="41"/>
        <v>10299</v>
      </c>
      <c r="AC66" s="81" t="str">
        <f>TEXT('MYP Assumptions'!J72,"0.00%")&amp;", CPI"</f>
        <v>2.73%, CPI</v>
      </c>
    </row>
    <row r="67" spans="1:29" x14ac:dyDescent="0.25">
      <c r="A67" s="153"/>
      <c r="B67" s="1326">
        <v>5608</v>
      </c>
      <c r="C67" s="1243" t="s">
        <v>447</v>
      </c>
      <c r="D67" s="2">
        <v>94145</v>
      </c>
      <c r="E67" s="1249"/>
      <c r="F67" s="2"/>
      <c r="G67" s="1527">
        <f t="shared" si="32"/>
        <v>-0.18269690371235858</v>
      </c>
      <c r="H67" s="2">
        <v>76945</v>
      </c>
      <c r="I67" s="1240"/>
      <c r="J67" s="66"/>
      <c r="K67" s="1527">
        <f t="shared" si="33"/>
        <v>-0.22022223666255117</v>
      </c>
      <c r="L67" s="2">
        <v>60000</v>
      </c>
      <c r="M67" s="1257"/>
      <c r="O67" s="1527">
        <f t="shared" si="34"/>
        <v>0</v>
      </c>
      <c r="P67" s="2">
        <f t="shared" si="38"/>
        <v>60000</v>
      </c>
      <c r="Q67" s="1257"/>
      <c r="S67" s="83">
        <f t="shared" si="35"/>
        <v>2.7300000000000001E-2</v>
      </c>
      <c r="T67" s="2">
        <f t="shared" si="39"/>
        <v>61638</v>
      </c>
      <c r="U67" s="81" t="str">
        <f>TEXT('MYP Assumptions'!H72,"0.00%")&amp;", CPI"</f>
        <v>2.73%, CPI</v>
      </c>
      <c r="W67" s="83">
        <f t="shared" si="36"/>
        <v>2.7304584834030955E-2</v>
      </c>
      <c r="X67" s="2">
        <f t="shared" si="40"/>
        <v>63321</v>
      </c>
      <c r="Y67" s="81" t="str">
        <f>TEXT('MYP Assumptions'!I72,"0.00%")&amp;", CPI"</f>
        <v>2.73%, CPI</v>
      </c>
      <c r="AA67" s="83">
        <f t="shared" si="37"/>
        <v>2.7305317351273669E-2</v>
      </c>
      <c r="AB67" s="2">
        <f t="shared" si="41"/>
        <v>65050</v>
      </c>
      <c r="AC67" s="81" t="str">
        <f>TEXT('MYP Assumptions'!J72,"0.00%")&amp;", CPI"</f>
        <v>2.73%, CPI</v>
      </c>
    </row>
    <row r="68" spans="1:29" x14ac:dyDescent="0.25">
      <c r="A68" s="153"/>
      <c r="B68" s="1326">
        <v>5719</v>
      </c>
      <c r="C68" s="1243" t="s">
        <v>454</v>
      </c>
      <c r="D68" s="2">
        <v>43</v>
      </c>
      <c r="E68" s="1249"/>
      <c r="F68" s="2"/>
      <c r="G68" s="1527">
        <f>IF(D68=0,"0.00%",(H68-D68)/D68)</f>
        <v>-1</v>
      </c>
      <c r="H68" s="2">
        <v>0</v>
      </c>
      <c r="I68" s="1240"/>
      <c r="J68" s="66"/>
      <c r="K68" s="1527" t="str">
        <f t="shared" si="33"/>
        <v>0.00%</v>
      </c>
      <c r="L68" s="2">
        <f t="shared" si="42"/>
        <v>0</v>
      </c>
      <c r="M68" s="1257"/>
      <c r="O68" s="1527" t="str">
        <f t="shared" si="34"/>
        <v>0.00%</v>
      </c>
      <c r="P68" s="2">
        <f t="shared" si="38"/>
        <v>0</v>
      </c>
      <c r="Q68" s="1257"/>
      <c r="S68" s="83" t="str">
        <f t="shared" si="35"/>
        <v>0.00%</v>
      </c>
      <c r="T68" s="2">
        <f t="shared" si="39"/>
        <v>0</v>
      </c>
      <c r="U68" s="81" t="str">
        <f>TEXT('MYP Assumptions'!H72,"0.00%")&amp;", CPI"</f>
        <v>2.73%, CPI</v>
      </c>
      <c r="W68" s="83" t="str">
        <f t="shared" si="36"/>
        <v>0.00%</v>
      </c>
      <c r="X68" s="2">
        <f t="shared" si="40"/>
        <v>0</v>
      </c>
      <c r="Y68" s="81" t="str">
        <f>TEXT('MYP Assumptions'!I72,"0.00%")&amp;", CPI"</f>
        <v>2.73%, CPI</v>
      </c>
      <c r="AA68" s="83" t="str">
        <f t="shared" si="37"/>
        <v>0.00%</v>
      </c>
      <c r="AB68" s="2">
        <f t="shared" si="41"/>
        <v>0</v>
      </c>
      <c r="AC68" s="81" t="str">
        <f>TEXT('MYP Assumptions'!J72,"0.00%")&amp;", CPI"</f>
        <v>2.73%, CPI</v>
      </c>
    </row>
    <row r="69" spans="1:29" x14ac:dyDescent="0.25">
      <c r="A69" s="153"/>
      <c r="B69" s="1326">
        <v>5752</v>
      </c>
      <c r="C69" s="1243" t="s">
        <v>436</v>
      </c>
      <c r="D69" s="2">
        <v>750</v>
      </c>
      <c r="E69" s="1249"/>
      <c r="F69" s="2"/>
      <c r="G69" s="1527">
        <f t="shared" ref="G69:G75" si="43">IF(D69=0,"0.00%",(H69-D69)/D69)</f>
        <v>0</v>
      </c>
      <c r="H69" s="2">
        <v>750</v>
      </c>
      <c r="I69" s="1240"/>
      <c r="J69" s="66"/>
      <c r="K69" s="1527">
        <f t="shared" si="33"/>
        <v>0</v>
      </c>
      <c r="L69" s="2">
        <f t="shared" si="42"/>
        <v>750</v>
      </c>
      <c r="M69" s="1257"/>
      <c r="O69" s="1527">
        <f t="shared" si="34"/>
        <v>0</v>
      </c>
      <c r="P69" s="2">
        <f t="shared" si="38"/>
        <v>750</v>
      </c>
      <c r="Q69" s="1257"/>
      <c r="S69" s="83">
        <f t="shared" si="35"/>
        <v>2.6666666666666668E-2</v>
      </c>
      <c r="T69" s="2">
        <f t="shared" si="39"/>
        <v>770</v>
      </c>
      <c r="U69" s="81" t="str">
        <f>TEXT('MYP Assumptions'!H72,"0.00%")&amp;", CPI"</f>
        <v>2.73%, CPI</v>
      </c>
      <c r="W69" s="83">
        <f t="shared" si="36"/>
        <v>2.7272727272727271E-2</v>
      </c>
      <c r="X69" s="2">
        <f t="shared" si="40"/>
        <v>791</v>
      </c>
      <c r="Y69" s="81" t="str">
        <f>TEXT('MYP Assumptions'!I72,"0.00%")&amp;", CPI"</f>
        <v>2.73%, CPI</v>
      </c>
      <c r="AA69" s="83">
        <f t="shared" si="37"/>
        <v>2.7812895069532238E-2</v>
      </c>
      <c r="AB69" s="2">
        <f t="shared" si="41"/>
        <v>813</v>
      </c>
      <c r="AC69" s="81" t="str">
        <f>TEXT('MYP Assumptions'!J72,"0.00%")&amp;", CPI"</f>
        <v>2.73%, CPI</v>
      </c>
    </row>
    <row r="70" spans="1:29" x14ac:dyDescent="0.25">
      <c r="A70" s="153"/>
      <c r="B70" s="1326">
        <v>5809</v>
      </c>
      <c r="C70" s="1243" t="s">
        <v>123</v>
      </c>
      <c r="D70" s="2">
        <v>709</v>
      </c>
      <c r="E70" s="1249"/>
      <c r="F70" s="2"/>
      <c r="G70" s="1527">
        <f t="shared" si="43"/>
        <v>39.307475317348377</v>
      </c>
      <c r="H70" s="2">
        <v>28578</v>
      </c>
      <c r="I70" s="1240"/>
      <c r="J70" s="66"/>
      <c r="K70" s="1527">
        <f t="shared" si="33"/>
        <v>-2.0225348169920918E-2</v>
      </c>
      <c r="L70" s="2">
        <v>28000</v>
      </c>
      <c r="M70" s="1257"/>
      <c r="O70" s="1527">
        <f t="shared" si="34"/>
        <v>0</v>
      </c>
      <c r="P70" s="2">
        <f t="shared" si="38"/>
        <v>28000</v>
      </c>
      <c r="Q70" s="1257"/>
      <c r="S70" s="83">
        <f t="shared" si="35"/>
        <v>2.7285714285714285E-2</v>
      </c>
      <c r="T70" s="2">
        <f t="shared" si="39"/>
        <v>28764</v>
      </c>
      <c r="U70" s="81" t="str">
        <f>TEXT('MYP Assumptions'!H72,"0.00%")&amp;", CPI"</f>
        <v>2.73%, CPI</v>
      </c>
      <c r="W70" s="83">
        <f t="shared" si="36"/>
        <v>2.7291058267278543E-2</v>
      </c>
      <c r="X70" s="2">
        <f t="shared" si="40"/>
        <v>29549</v>
      </c>
      <c r="Y70" s="81" t="str">
        <f>TEXT('MYP Assumptions'!I72,"0.00%")&amp;", CPI"</f>
        <v>2.73%, CPI</v>
      </c>
      <c r="AA70" s="83">
        <f t="shared" si="37"/>
        <v>2.7310568885579884E-2</v>
      </c>
      <c r="AB70" s="2">
        <f t="shared" si="41"/>
        <v>30356</v>
      </c>
      <c r="AC70" s="81" t="str">
        <f>TEXT('MYP Assumptions'!J72,"0.00%")&amp;", CPI"</f>
        <v>2.73%, CPI</v>
      </c>
    </row>
    <row r="71" spans="1:29" x14ac:dyDescent="0.25">
      <c r="A71" s="153"/>
      <c r="B71" s="1326">
        <v>5813</v>
      </c>
      <c r="C71" s="1243" t="s">
        <v>6</v>
      </c>
      <c r="D71" s="2">
        <v>111739</v>
      </c>
      <c r="E71" s="1249"/>
      <c r="F71" s="2"/>
      <c r="G71" s="1527">
        <f t="shared" si="43"/>
        <v>1.8229982369629225E-2</v>
      </c>
      <c r="H71" s="2">
        <v>113776</v>
      </c>
      <c r="I71" s="1240"/>
      <c r="J71" s="66"/>
      <c r="K71" s="1527">
        <f t="shared" si="33"/>
        <v>-3.3188018562790043E-2</v>
      </c>
      <c r="L71" s="2">
        <v>110000</v>
      </c>
      <c r="M71" s="1257"/>
      <c r="O71" s="1527">
        <f t="shared" si="34"/>
        <v>0</v>
      </c>
      <c r="P71" s="2">
        <f t="shared" si="38"/>
        <v>110000</v>
      </c>
      <c r="Q71" s="1257"/>
      <c r="S71" s="83">
        <f t="shared" si="35"/>
        <v>2.7300000000000001E-2</v>
      </c>
      <c r="T71" s="2">
        <f t="shared" si="39"/>
        <v>113003</v>
      </c>
      <c r="U71" s="81" t="str">
        <f>TEXT('MYP Assumptions'!H72,"0.00%")&amp;", CPI"</f>
        <v>2.73%, CPI</v>
      </c>
      <c r="W71" s="83">
        <f t="shared" si="36"/>
        <v>2.7300160172738779E-2</v>
      </c>
      <c r="X71" s="2">
        <f t="shared" si="40"/>
        <v>116088</v>
      </c>
      <c r="Y71" s="81" t="str">
        <f>TEXT('MYP Assumptions'!I72,"0.00%")&amp;", CPI"</f>
        <v>2.73%, CPI</v>
      </c>
      <c r="AA71" s="83">
        <f t="shared" si="37"/>
        <v>2.7298256495072705E-2</v>
      </c>
      <c r="AB71" s="2">
        <f t="shared" si="41"/>
        <v>119257</v>
      </c>
      <c r="AC71" s="81" t="str">
        <f>TEXT('MYP Assumptions'!J72,"0.00%")&amp;", CPI"</f>
        <v>2.73%, CPI</v>
      </c>
    </row>
    <row r="72" spans="1:29" x14ac:dyDescent="0.25">
      <c r="A72" s="153"/>
      <c r="B72" s="1326">
        <v>5814</v>
      </c>
      <c r="C72" s="1243" t="s">
        <v>4</v>
      </c>
      <c r="D72" s="2">
        <v>80389</v>
      </c>
      <c r="E72" s="1249"/>
      <c r="F72" s="2"/>
      <c r="G72" s="1527">
        <f t="shared" si="43"/>
        <v>0.25862991205264402</v>
      </c>
      <c r="H72" s="2">
        <v>101180</v>
      </c>
      <c r="I72" s="1240"/>
      <c r="J72" s="66"/>
      <c r="K72" s="1527">
        <f t="shared" si="33"/>
        <v>-0.1599130262897806</v>
      </c>
      <c r="L72" s="2">
        <v>85000</v>
      </c>
      <c r="M72" s="1257"/>
      <c r="O72" s="1527">
        <f t="shared" si="34"/>
        <v>0</v>
      </c>
      <c r="P72" s="2">
        <f t="shared" si="38"/>
        <v>85000</v>
      </c>
      <c r="Q72" s="1257"/>
      <c r="S72" s="83">
        <f t="shared" si="35"/>
        <v>2.7305882352941176E-2</v>
      </c>
      <c r="T72" s="2">
        <f t="shared" si="39"/>
        <v>87321</v>
      </c>
      <c r="U72" s="81" t="str">
        <f>TEXT('MYP Assumptions'!H72,"0.00%")&amp;", CPI"</f>
        <v>2.73%, CPI</v>
      </c>
      <c r="W72" s="83">
        <f t="shared" si="36"/>
        <v>2.7301565488255974E-2</v>
      </c>
      <c r="X72" s="2">
        <f t="shared" si="40"/>
        <v>89705</v>
      </c>
      <c r="Y72" s="81" t="str">
        <f>TEXT('MYP Assumptions'!I72,"0.00%")&amp;", CPI"</f>
        <v>2.73%, CPI</v>
      </c>
      <c r="AA72" s="83">
        <f t="shared" si="37"/>
        <v>2.7300596399308846E-2</v>
      </c>
      <c r="AB72" s="2">
        <f t="shared" si="41"/>
        <v>92154</v>
      </c>
      <c r="AC72" s="81" t="str">
        <f>TEXT('MYP Assumptions'!J72,"0.00%")&amp;", CPI"</f>
        <v>2.73%, CPI</v>
      </c>
    </row>
    <row r="73" spans="1:29" x14ac:dyDescent="0.25">
      <c r="A73" s="153"/>
      <c r="B73" s="1326">
        <v>5908</v>
      </c>
      <c r="C73" s="1243" t="s">
        <v>455</v>
      </c>
      <c r="D73" s="2">
        <v>36157</v>
      </c>
      <c r="E73" s="1249"/>
      <c r="F73" s="2"/>
      <c r="G73" s="1527">
        <f t="shared" si="43"/>
        <v>-4.4804602151727194E-3</v>
      </c>
      <c r="H73" s="2">
        <v>35995</v>
      </c>
      <c r="I73" s="1240"/>
      <c r="J73" s="66"/>
      <c r="K73" s="1527">
        <f t="shared" si="33"/>
        <v>-0.16655090984859008</v>
      </c>
      <c r="L73" s="2">
        <v>30000</v>
      </c>
      <c r="M73" s="1257"/>
      <c r="O73" s="1527">
        <f t="shared" si="34"/>
        <v>0</v>
      </c>
      <c r="P73" s="2">
        <f t="shared" si="38"/>
        <v>30000</v>
      </c>
      <c r="Q73" s="1257"/>
      <c r="S73" s="83">
        <f t="shared" si="35"/>
        <v>2.7300000000000001E-2</v>
      </c>
      <c r="T73" s="2">
        <f t="shared" si="39"/>
        <v>30819</v>
      </c>
      <c r="U73" s="81" t="str">
        <f>TEXT('MYP Assumptions'!H72,"0.00%")&amp;", CPI"</f>
        <v>2.73%, CPI</v>
      </c>
      <c r="W73" s="83">
        <f t="shared" si="36"/>
        <v>2.7288361075959635E-2</v>
      </c>
      <c r="X73" s="2">
        <f t="shared" si="40"/>
        <v>31660</v>
      </c>
      <c r="Y73" s="81" t="str">
        <f>TEXT('MYP Assumptions'!I72,"0.00%")&amp;", CPI"</f>
        <v>2.73%, CPI</v>
      </c>
      <c r="AA73" s="83">
        <f t="shared" si="37"/>
        <v>2.7289955780164243E-2</v>
      </c>
      <c r="AB73" s="2">
        <f t="shared" si="41"/>
        <v>32524</v>
      </c>
      <c r="AC73" s="81" t="str">
        <f>TEXT('MYP Assumptions'!J72,"0.00%")&amp;", CPI"</f>
        <v>2.73%, CPI</v>
      </c>
    </row>
    <row r="74" spans="1:29" x14ac:dyDescent="0.25">
      <c r="A74" s="153"/>
      <c r="B74" s="1326"/>
      <c r="D74" s="2">
        <f>'RS 3010-ALL'!AF80</f>
        <v>0</v>
      </c>
      <c r="E74" s="1249"/>
      <c r="F74" s="2"/>
      <c r="G74" s="1527" t="str">
        <f t="shared" si="43"/>
        <v>0.00%</v>
      </c>
      <c r="H74" s="2"/>
      <c r="I74" s="1240"/>
      <c r="J74" s="66"/>
      <c r="K74" s="1527" t="str">
        <f t="shared" si="33"/>
        <v>0.00%</v>
      </c>
      <c r="L74" s="2"/>
      <c r="M74" s="1240"/>
      <c r="O74" s="1527" t="str">
        <f t="shared" si="34"/>
        <v>0.00%</v>
      </c>
      <c r="P74" s="2">
        <v>0</v>
      </c>
      <c r="Q74" s="1240"/>
      <c r="S74" s="83" t="str">
        <f t="shared" si="35"/>
        <v>0.00%</v>
      </c>
      <c r="T74" s="2">
        <f t="shared" si="39"/>
        <v>0</v>
      </c>
      <c r="U74" s="81" t="str">
        <f>TEXT('MYP Assumptions'!H72,"0.00%")&amp;", CPI"</f>
        <v>2.73%, CPI</v>
      </c>
      <c r="W74" s="83" t="str">
        <f t="shared" si="36"/>
        <v>0.00%</v>
      </c>
      <c r="X74" s="2">
        <f t="shared" si="40"/>
        <v>0</v>
      </c>
      <c r="Y74" s="81" t="str">
        <f>TEXT('MYP Assumptions'!I72,"0.00%")&amp;", CPI"</f>
        <v>2.73%, CPI</v>
      </c>
      <c r="AA74" s="83" t="str">
        <f t="shared" si="37"/>
        <v>0.00%</v>
      </c>
      <c r="AB74" s="2">
        <f t="shared" si="41"/>
        <v>0</v>
      </c>
      <c r="AC74" s="81" t="str">
        <f>TEXT('MYP Assumptions'!J72,"0.00%")&amp;", CPI"</f>
        <v>2.73%, CPI</v>
      </c>
    </row>
    <row r="75" spans="1:29" x14ac:dyDescent="0.25">
      <c r="A75" s="154"/>
      <c r="D75" s="8">
        <f>SUM(D62:D74)</f>
        <v>392385</v>
      </c>
      <c r="E75" s="1249"/>
      <c r="F75" s="2"/>
      <c r="G75" s="1527">
        <f t="shared" si="43"/>
        <v>8.6308090268486307E-2</v>
      </c>
      <c r="H75" s="8">
        <f>SUM(H62:H74)</f>
        <v>426251</v>
      </c>
      <c r="I75" s="1882">
        <f>+H75-D75</f>
        <v>33866</v>
      </c>
      <c r="J75" s="29"/>
      <c r="K75" s="1527">
        <f t="shared" si="33"/>
        <v>-0.15835974578358761</v>
      </c>
      <c r="L75" s="8">
        <f>SUM(L62:L74)</f>
        <v>358750</v>
      </c>
      <c r="M75" s="1882">
        <f>+L75-H75</f>
        <v>-67501</v>
      </c>
      <c r="O75" s="1527">
        <f t="shared" si="34"/>
        <v>0</v>
      </c>
      <c r="P75" s="8">
        <f>SUM(P62:P74)</f>
        <v>358750</v>
      </c>
      <c r="Q75" s="1882">
        <f>+P75-L75</f>
        <v>0</v>
      </c>
      <c r="S75" s="83">
        <f t="shared" si="35"/>
        <v>2.7297560975609755E-2</v>
      </c>
      <c r="T75" s="8">
        <f>SUM(T62:T74)</f>
        <v>368543</v>
      </c>
      <c r="U75" s="73"/>
      <c r="W75" s="83">
        <f t="shared" si="36"/>
        <v>2.7296679084937173E-2</v>
      </c>
      <c r="X75" s="8">
        <f>SUM(X62:X74)</f>
        <v>378603</v>
      </c>
      <c r="Y75" s="73"/>
      <c r="AA75" s="83">
        <f t="shared" si="37"/>
        <v>2.7303006051193467E-2</v>
      </c>
      <c r="AB75" s="8">
        <f>SUM(AB62:AB74)</f>
        <v>388940</v>
      </c>
      <c r="AC75" s="73"/>
    </row>
    <row r="76" spans="1:29" x14ac:dyDescent="0.25">
      <c r="A76" s="153"/>
      <c r="B76" s="1323"/>
      <c r="E76" s="1249"/>
      <c r="F76" s="2"/>
      <c r="G76" s="1527"/>
      <c r="H76" s="2"/>
      <c r="I76" s="1257"/>
      <c r="J76" s="66"/>
      <c r="L76" s="2"/>
      <c r="M76" s="1335"/>
      <c r="Q76" s="1335"/>
      <c r="T76" s="2"/>
      <c r="U76" s="73"/>
      <c r="X76" s="2"/>
      <c r="Y76" s="73"/>
      <c r="AB76" s="2"/>
      <c r="AC76" s="73"/>
    </row>
    <row r="77" spans="1:29" x14ac:dyDescent="0.25">
      <c r="A77" s="153"/>
      <c r="B77" s="1323" t="s">
        <v>342</v>
      </c>
      <c r="E77" s="1249"/>
      <c r="F77" s="2"/>
      <c r="G77" s="1527"/>
      <c r="H77" s="2"/>
      <c r="I77" s="1257"/>
      <c r="J77" s="66"/>
      <c r="L77" s="2"/>
      <c r="M77" s="1335"/>
      <c r="Q77" s="1335"/>
      <c r="T77" s="2"/>
      <c r="U77" s="73"/>
      <c r="X77" s="2"/>
      <c r="Y77" s="73"/>
      <c r="AB77" s="2"/>
      <c r="AC77" s="73"/>
    </row>
    <row r="78" spans="1:29" x14ac:dyDescent="0.25">
      <c r="A78" s="153"/>
      <c r="B78" s="1326">
        <v>6400</v>
      </c>
      <c r="C78" s="1243" t="s">
        <v>343</v>
      </c>
      <c r="D78" s="2">
        <v>9000</v>
      </c>
      <c r="E78" s="1249"/>
      <c r="F78" s="2"/>
      <c r="G78" s="1527"/>
      <c r="H78" s="2">
        <v>9000</v>
      </c>
      <c r="I78" s="1257"/>
      <c r="J78" s="66"/>
      <c r="K78" s="1527"/>
      <c r="L78" s="2">
        <v>0</v>
      </c>
      <c r="M78" s="1335"/>
      <c r="O78" s="1527"/>
      <c r="P78" s="2">
        <v>0</v>
      </c>
      <c r="Q78" s="1335"/>
      <c r="S78" s="83"/>
      <c r="T78" s="2">
        <v>0</v>
      </c>
      <c r="U78" s="73"/>
      <c r="W78" s="83"/>
      <c r="X78" s="2">
        <v>0</v>
      </c>
      <c r="Y78" s="73"/>
      <c r="AA78" s="83"/>
      <c r="AB78" s="2">
        <v>0</v>
      </c>
      <c r="AC78" s="73"/>
    </row>
    <row r="79" spans="1:29" ht="23.25" hidden="1" customHeight="1" x14ac:dyDescent="0.25">
      <c r="A79" s="153"/>
      <c r="B79" s="1326"/>
      <c r="D79" s="2">
        <v>0</v>
      </c>
      <c r="E79" s="1249"/>
      <c r="F79" s="2"/>
      <c r="G79" s="1527"/>
      <c r="H79" s="2">
        <v>0</v>
      </c>
      <c r="I79" s="1257"/>
      <c r="J79" s="66"/>
      <c r="K79" s="1527"/>
      <c r="L79" s="2">
        <v>0</v>
      </c>
      <c r="M79" s="1335"/>
      <c r="O79" s="1527"/>
      <c r="P79" s="2">
        <v>0</v>
      </c>
      <c r="Q79" s="1335"/>
      <c r="S79" s="83"/>
      <c r="T79" s="2">
        <v>0</v>
      </c>
      <c r="U79" s="73"/>
      <c r="W79" s="83"/>
      <c r="X79" s="2">
        <v>0</v>
      </c>
      <c r="Y79" s="73"/>
      <c r="AA79" s="83"/>
      <c r="AB79" s="2">
        <v>0</v>
      </c>
      <c r="AC79" s="73"/>
    </row>
    <row r="80" spans="1:29" hidden="1" x14ac:dyDescent="0.25">
      <c r="A80" s="153"/>
      <c r="B80" s="1323"/>
      <c r="D80" s="2">
        <v>0</v>
      </c>
      <c r="E80" s="1249"/>
      <c r="F80" s="2"/>
      <c r="G80" s="1527"/>
      <c r="H80" s="2">
        <v>0</v>
      </c>
      <c r="I80" s="1257"/>
      <c r="J80" s="66"/>
      <c r="K80" s="1527"/>
      <c r="L80" s="2">
        <v>0</v>
      </c>
      <c r="M80" s="1335"/>
      <c r="O80" s="1527"/>
      <c r="P80" s="2">
        <v>0</v>
      </c>
      <c r="Q80" s="1335"/>
      <c r="S80" s="83"/>
      <c r="T80" s="2">
        <v>0</v>
      </c>
      <c r="U80" s="73"/>
      <c r="W80" s="83"/>
      <c r="X80" s="2">
        <v>0</v>
      </c>
      <c r="Y80" s="73"/>
      <c r="AA80" s="83"/>
      <c r="AB80" s="2">
        <v>0</v>
      </c>
      <c r="AC80" s="73"/>
    </row>
    <row r="81" spans="1:29" x14ac:dyDescent="0.25">
      <c r="A81" s="153"/>
      <c r="B81" s="1323"/>
      <c r="D81" s="112">
        <f>SUM(D78:D80)</f>
        <v>9000</v>
      </c>
      <c r="E81" s="1249"/>
      <c r="F81" s="2"/>
      <c r="G81" s="1527"/>
      <c r="H81" s="112">
        <f>SUM(H78:H80)</f>
        <v>9000</v>
      </c>
      <c r="I81" s="1882">
        <f>+H81-D81</f>
        <v>0</v>
      </c>
      <c r="J81" s="66"/>
      <c r="K81" s="1527"/>
      <c r="L81" s="112">
        <f>SUM(L78:L80)</f>
        <v>0</v>
      </c>
      <c r="M81" s="1882">
        <f>+L81-H81</f>
        <v>-9000</v>
      </c>
      <c r="O81" s="1527"/>
      <c r="P81" s="112">
        <f>SUM(P78:P80)</f>
        <v>0</v>
      </c>
      <c r="Q81" s="1882">
        <f>+P81-L81</f>
        <v>0</v>
      </c>
      <c r="S81" s="83"/>
      <c r="T81" s="112">
        <f>SUM(T78:T80)</f>
        <v>0</v>
      </c>
      <c r="U81" s="73"/>
      <c r="W81" s="83"/>
      <c r="X81" s="112">
        <f>SUM(X78:X80)</f>
        <v>0</v>
      </c>
      <c r="Y81" s="73"/>
      <c r="AA81" s="83"/>
      <c r="AB81" s="112">
        <f>SUM(AB78:AB80)</f>
        <v>0</v>
      </c>
      <c r="AC81" s="73"/>
    </row>
    <row r="82" spans="1:29" x14ac:dyDescent="0.25">
      <c r="A82" s="153"/>
      <c r="B82" s="1323"/>
      <c r="D82" s="36"/>
      <c r="E82" s="1249"/>
      <c r="F82" s="2"/>
      <c r="G82" s="1527"/>
      <c r="H82" s="36"/>
      <c r="I82" s="1257"/>
      <c r="J82" s="66"/>
      <c r="K82" s="1527"/>
      <c r="L82" s="36"/>
      <c r="M82" s="1335"/>
      <c r="O82" s="1527"/>
      <c r="P82" s="36"/>
      <c r="Q82" s="1335"/>
      <c r="S82" s="83"/>
      <c r="T82" s="36"/>
      <c r="U82" s="73"/>
      <c r="W82" s="83"/>
      <c r="X82" s="36"/>
      <c r="Y82" s="73"/>
      <c r="AA82" s="83"/>
      <c r="AB82" s="36"/>
      <c r="AC82" s="73"/>
    </row>
    <row r="83" spans="1:29" x14ac:dyDescent="0.25">
      <c r="A83" s="153"/>
      <c r="E83" s="1249"/>
      <c r="F83" s="2"/>
      <c r="H83" s="2"/>
      <c r="I83" s="1257"/>
      <c r="J83" s="66"/>
      <c r="L83" s="2"/>
      <c r="M83" s="1335"/>
      <c r="Q83" s="1335"/>
      <c r="T83" s="2"/>
      <c r="U83" s="73"/>
      <c r="X83" s="2"/>
      <c r="Y83" s="73"/>
      <c r="AB83" s="2"/>
      <c r="AC83" s="73"/>
    </row>
    <row r="84" spans="1:29" x14ac:dyDescent="0.25">
      <c r="A84" s="154"/>
      <c r="B84" s="1323" t="s">
        <v>0</v>
      </c>
      <c r="D84" s="8">
        <f>SUM(D75,D59,D45,D13,D81)</f>
        <v>785035</v>
      </c>
      <c r="E84" s="1249"/>
      <c r="F84" s="2"/>
      <c r="G84" s="1527">
        <f>IF(D84=0,"0.00%",(H84-D84)/D84)</f>
        <v>0.28852598928710183</v>
      </c>
      <c r="H84" s="8">
        <f>SUM(H75,H59,H45,H13,H81)</f>
        <v>1011538</v>
      </c>
      <c r="I84" s="1882">
        <f>+H84-D84</f>
        <v>226503</v>
      </c>
      <c r="J84" s="29"/>
      <c r="K84" s="1527">
        <f>IF(H84=0,"0.00%",(L84-H84)/H84)</f>
        <v>1.1602895788393515</v>
      </c>
      <c r="L84" s="8">
        <f>SUM(L75,L59,L45,L13,L81)</f>
        <v>2185215</v>
      </c>
      <c r="M84" s="1882">
        <f>+L84-H84</f>
        <v>1173677</v>
      </c>
      <c r="O84" s="1527">
        <f>IF(L84=0,"0.00%",(P84-L84)/L84)</f>
        <v>2.5393382344529029E-2</v>
      </c>
      <c r="P84" s="8">
        <f>SUM(P75,P59,P45,P13,P81)</f>
        <v>2240705</v>
      </c>
      <c r="Q84" s="1882">
        <f>+P84-L84</f>
        <v>55490</v>
      </c>
      <c r="S84" s="83">
        <f>IF(P84=0,"0.00%",(T84-P84)/P84)</f>
        <v>-0.30550295554300988</v>
      </c>
      <c r="T84" s="8">
        <f>SUM(T75,T59,T45,T13)</f>
        <v>1556163</v>
      </c>
      <c r="U84" s="73"/>
      <c r="W84" s="83">
        <f>IF(T84=0,"0.00%",(X84-T84)/T84)</f>
        <v>2.9082429025751158E-2</v>
      </c>
      <c r="X84" s="8">
        <f>SUM(X75,X59,X45,X13)</f>
        <v>1601420</v>
      </c>
      <c r="Y84" s="73"/>
      <c r="AA84" s="83">
        <f>IF(X84=0,"0.00%",(AB84-X84)/X84)</f>
        <v>2.6827440646426295E-2</v>
      </c>
      <c r="AB84" s="8">
        <f>SUM(AB75,AB59,AB45,AB13)</f>
        <v>1644382</v>
      </c>
      <c r="AC84" s="73"/>
    </row>
    <row r="85" spans="1:29" x14ac:dyDescent="0.25">
      <c r="A85" s="153"/>
      <c r="E85" s="1249"/>
      <c r="F85" s="2"/>
      <c r="H85" s="2"/>
      <c r="I85" s="1257"/>
      <c r="J85" s="66"/>
      <c r="L85" s="2"/>
      <c r="M85" s="1335"/>
      <c r="Q85" s="1335"/>
      <c r="T85" s="2"/>
      <c r="U85" s="73"/>
      <c r="X85" s="2"/>
      <c r="Y85" s="73"/>
      <c r="AB85" s="2"/>
      <c r="AC85" s="73"/>
    </row>
    <row r="86" spans="1:29" x14ac:dyDescent="0.25">
      <c r="A86" s="153"/>
      <c r="B86" s="1323" t="s">
        <v>138</v>
      </c>
      <c r="D86" s="3">
        <f>D11-D84</f>
        <v>305145</v>
      </c>
      <c r="G86" s="1527">
        <f>IF(D86=0,"0.00%",(H86-D86)/D86)</f>
        <v>-0.65266021071949398</v>
      </c>
      <c r="H86" s="3">
        <f>H11-H84</f>
        <v>105989</v>
      </c>
      <c r="I86" s="1257"/>
      <c r="J86" s="66"/>
      <c r="K86" s="1527">
        <f>IF(H86=0,"0.00%",(L86-H86)/H86)</f>
        <v>-10.846880336638709</v>
      </c>
      <c r="L86" s="3">
        <f>L11-L84</f>
        <v>-1043661</v>
      </c>
      <c r="M86" s="1335"/>
      <c r="O86" s="1527">
        <f>IF(L86=0,"0.00%",(P86-L86)/L86)</f>
        <v>2.7463898718070333E-2</v>
      </c>
      <c r="P86" s="3">
        <f>P11-P84</f>
        <v>-1072324</v>
      </c>
      <c r="Q86" s="1335"/>
      <c r="S86" s="83">
        <f>IF(P86=0,"0.00%",(T86-P86)/P86)</f>
        <v>0.45120597878999258</v>
      </c>
      <c r="T86" s="3">
        <f>T11-T84</f>
        <v>-1556163</v>
      </c>
      <c r="U86" s="73"/>
      <c r="W86" s="83">
        <f>IF(T86=0,"0.00%",(X86-T86)/T86)</f>
        <v>2.9082429025751158E-2</v>
      </c>
      <c r="X86" s="3">
        <f>X11-X84</f>
        <v>-1601420</v>
      </c>
      <c r="Y86" s="73"/>
      <c r="AA86" s="83">
        <f>IF(X86=0,"0.00%",(AB86-X86)/X86)</f>
        <v>2.6827440646426295E-2</v>
      </c>
      <c r="AB86" s="3">
        <f>AB11-AB84</f>
        <v>-1644382</v>
      </c>
      <c r="AC86" s="73"/>
    </row>
    <row r="87" spans="1:29" x14ac:dyDescent="0.25">
      <c r="B87" s="1323"/>
      <c r="C87" s="1317"/>
      <c r="D87" s="3"/>
      <c r="H87" s="3"/>
      <c r="I87" s="1257"/>
      <c r="J87" s="66"/>
      <c r="L87" s="3"/>
      <c r="M87" s="1335"/>
      <c r="P87" s="3"/>
      <c r="Q87" s="1335"/>
      <c r="T87" s="44"/>
      <c r="U87" s="73"/>
      <c r="X87" s="44"/>
      <c r="Y87" s="73"/>
      <c r="AB87" s="44"/>
      <c r="AC87" s="73"/>
    </row>
    <row r="88" spans="1:29" x14ac:dyDescent="0.25">
      <c r="B88" s="1323" t="s">
        <v>136</v>
      </c>
      <c r="C88" s="1319"/>
      <c r="D88" s="3">
        <f>D7+D86</f>
        <v>5199989.17</v>
      </c>
      <c r="G88" s="1527">
        <f>IF(D88=0,"0.00%",(H88-D88)/D88)</f>
        <v>2.0382542450564374E-2</v>
      </c>
      <c r="H88" s="3">
        <f>H7+H86</f>
        <v>5305978.17</v>
      </c>
      <c r="I88" s="1882">
        <f>+H88-D88</f>
        <v>105989</v>
      </c>
      <c r="J88" s="66"/>
      <c r="K88" s="1527">
        <f>IF(H88=0,"0.00%",(L88-H88)/H88)</f>
        <v>-0.19669530604193949</v>
      </c>
      <c r="L88" s="3">
        <f>L7+L86</f>
        <v>4262317.17</v>
      </c>
      <c r="M88" s="1882">
        <f>+L88-H88</f>
        <v>-1043661</v>
      </c>
      <c r="O88" s="1527">
        <f>IF(L88=0,"0.00%",(P88-L88)/L88)</f>
        <v>-0.25158240394390924</v>
      </c>
      <c r="P88" s="3">
        <f>P7+P86</f>
        <v>3189993.17</v>
      </c>
      <c r="Q88" s="1882">
        <f>+P88-L88</f>
        <v>-1072324</v>
      </c>
      <c r="S88" s="83">
        <f>IF(P88=0,"0.00%",(T88-P88)/P88)</f>
        <v>-0.4878264363180439</v>
      </c>
      <c r="T88" s="49">
        <f>T7+T86</f>
        <v>1633830.17</v>
      </c>
      <c r="U88" s="73"/>
      <c r="W88" s="83">
        <f>IF(T88=0,"0.00%",(X88-T88)/T88)</f>
        <v>-0.98016307288535387</v>
      </c>
      <c r="X88" s="49">
        <f>X7+X86</f>
        <v>32410.169999999925</v>
      </c>
      <c r="Y88" s="73"/>
      <c r="AA88" s="83">
        <f>IF(X88=0,"0.00%",(AB88-X88)/X88)</f>
        <v>-50.736605207563052</v>
      </c>
      <c r="AB88" s="49">
        <f>AB7+AB86</f>
        <v>-1611971.83</v>
      </c>
      <c r="AC88" s="73"/>
    </row>
    <row r="89" spans="1:29" x14ac:dyDescent="0.25">
      <c r="C89" s="1259"/>
      <c r="G89" s="1540"/>
      <c r="H89" s="5"/>
      <c r="I89" s="1258"/>
      <c r="J89" s="29"/>
      <c r="L89" s="5"/>
      <c r="M89" s="1335"/>
      <c r="P89" s="5"/>
      <c r="Q89" s="1335"/>
      <c r="T89" s="5"/>
      <c r="U89" s="73"/>
      <c r="X89" s="5"/>
      <c r="Y89" s="73"/>
      <c r="AB89" s="5"/>
      <c r="AC89" s="73"/>
    </row>
    <row r="90" spans="1:29" x14ac:dyDescent="0.25">
      <c r="C90" s="1254"/>
      <c r="G90" s="1540"/>
      <c r="H90" s="36">
        <f>+H88-5305978.17</f>
        <v>0</v>
      </c>
      <c r="I90" s="1257"/>
      <c r="J90" s="66"/>
      <c r="L90" s="2"/>
      <c r="M90" s="1335"/>
      <c r="Q90" s="1335"/>
      <c r="T90" s="2"/>
      <c r="U90" s="73"/>
      <c r="X90" s="2"/>
      <c r="Y90" s="73"/>
      <c r="AB90" s="2"/>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s="138" customFormat="1" ht="11.25" x14ac:dyDescent="0.2">
      <c r="A94" s="157"/>
      <c r="B94" s="1329"/>
      <c r="C94" s="1330" t="s">
        <v>226</v>
      </c>
      <c r="D94" s="135">
        <f>+D75+D59+D43+D31+D24+D81</f>
        <v>785035</v>
      </c>
      <c r="E94" s="1251"/>
      <c r="G94" s="1541" t="s">
        <v>226</v>
      </c>
      <c r="H94" s="135">
        <f>+H75+H59+H43+H31+H24</f>
        <v>1002538</v>
      </c>
      <c r="I94" s="1260"/>
      <c r="J94" s="136"/>
      <c r="K94" s="1541" t="s">
        <v>226</v>
      </c>
      <c r="L94" s="135">
        <f>+L75+L59+L43+L31+L24</f>
        <v>2185215</v>
      </c>
      <c r="M94" s="1338"/>
      <c r="O94" s="1541" t="s">
        <v>226</v>
      </c>
      <c r="P94" s="135">
        <f>+P75+P59+P43+P31+P24</f>
        <v>2240705</v>
      </c>
      <c r="Q94" s="1338"/>
      <c r="R94" s="140"/>
      <c r="S94" s="134" t="s">
        <v>226</v>
      </c>
      <c r="T94" s="135">
        <f>+T75+T59+T43+T31+T24</f>
        <v>1556163</v>
      </c>
      <c r="U94" s="139"/>
      <c r="W94" s="134" t="s">
        <v>226</v>
      </c>
      <c r="X94" s="135">
        <f>+X75+X59+X43+X31+X24</f>
        <v>1601420</v>
      </c>
      <c r="Y94" s="139"/>
      <c r="AA94" s="134" t="s">
        <v>226</v>
      </c>
      <c r="AB94" s="135">
        <f>+AB75+AB59+AB43+AB31+AB24</f>
        <v>1644382</v>
      </c>
      <c r="AC94" s="139"/>
    </row>
    <row r="95" spans="1:29" s="138" customFormat="1" ht="11.25" x14ac:dyDescent="0.2">
      <c r="A95" s="159"/>
      <c r="B95" s="1329"/>
      <c r="C95" s="1331" t="s">
        <v>227</v>
      </c>
      <c r="D95" s="143">
        <f>+D13</f>
        <v>0</v>
      </c>
      <c r="E95" s="1252"/>
      <c r="F95" s="145"/>
      <c r="G95" s="1546" t="s">
        <v>227</v>
      </c>
      <c r="H95" s="143">
        <f>+H13</f>
        <v>0</v>
      </c>
      <c r="I95" s="1261"/>
      <c r="J95" s="144"/>
      <c r="K95" s="1546" t="s">
        <v>227</v>
      </c>
      <c r="L95" s="143">
        <f>+L13</f>
        <v>0</v>
      </c>
      <c r="M95" s="1338"/>
      <c r="O95" s="1546" t="s">
        <v>227</v>
      </c>
      <c r="P95" s="143">
        <f>+P13</f>
        <v>0</v>
      </c>
      <c r="Q95" s="1251"/>
      <c r="R95" s="140"/>
      <c r="S95" s="142" t="s">
        <v>227</v>
      </c>
      <c r="T95" s="143">
        <f>+T13</f>
        <v>0</v>
      </c>
      <c r="W95" s="142" t="s">
        <v>227</v>
      </c>
      <c r="X95" s="143">
        <f>+X13</f>
        <v>0</v>
      </c>
      <c r="AA95" s="142" t="s">
        <v>227</v>
      </c>
      <c r="AB95" s="143">
        <f>+AB13</f>
        <v>0</v>
      </c>
    </row>
    <row r="96" spans="1:29" s="138" customFormat="1" ht="11.25" x14ac:dyDescent="0.2">
      <c r="A96" s="159"/>
      <c r="B96" s="1329"/>
      <c r="C96" s="1331"/>
      <c r="D96" s="146">
        <f>+D94+D95</f>
        <v>785035</v>
      </c>
      <c r="E96" s="1252"/>
      <c r="F96" s="145"/>
      <c r="G96" s="1546"/>
      <c r="H96" s="146">
        <f>+H94+H95</f>
        <v>1002538</v>
      </c>
      <c r="I96" s="1261"/>
      <c r="J96" s="144"/>
      <c r="K96" s="1546"/>
      <c r="L96" s="146">
        <f>+L94+L95</f>
        <v>2185215</v>
      </c>
      <c r="M96" s="1251"/>
      <c r="O96" s="1546"/>
      <c r="P96" s="146">
        <f>+P94+P95</f>
        <v>2240705</v>
      </c>
      <c r="Q96" s="1251"/>
      <c r="R96" s="140"/>
      <c r="S96" s="142"/>
      <c r="T96" s="146">
        <f>+T94+T95</f>
        <v>1556163</v>
      </c>
      <c r="W96" s="142"/>
      <c r="X96" s="146">
        <f>+X94+X95</f>
        <v>1601420</v>
      </c>
      <c r="AA96" s="142"/>
      <c r="AB96" s="146">
        <f>+AB94+AB95</f>
        <v>1644382</v>
      </c>
    </row>
    <row r="97" spans="1:28" ht="15" customHeight="1" x14ac:dyDescent="0.25">
      <c r="A97" s="153"/>
      <c r="B97" s="1332"/>
      <c r="C97" s="1332"/>
      <c r="D97" s="5">
        <f>+D84-D96</f>
        <v>0</v>
      </c>
      <c r="E97" s="1249"/>
      <c r="F97" s="2"/>
      <c r="G97" s="1543"/>
      <c r="H97" s="5">
        <f>+H84-H96</f>
        <v>9000</v>
      </c>
      <c r="K97" s="1543"/>
      <c r="L97" s="5">
        <f>+L84-L96</f>
        <v>0</v>
      </c>
      <c r="O97" s="1543"/>
      <c r="P97" s="5">
        <f>+P84-P96</f>
        <v>0</v>
      </c>
      <c r="S97" s="103"/>
      <c r="T97" s="5">
        <f>+T84-T96</f>
        <v>0</v>
      </c>
      <c r="W97" s="103"/>
      <c r="X97" s="5">
        <f>+X84-X96</f>
        <v>0</v>
      </c>
      <c r="AA97" s="103"/>
      <c r="AB97" s="5">
        <f>+AB84-AB96</f>
        <v>0</v>
      </c>
    </row>
    <row r="98" spans="1:28" x14ac:dyDescent="0.25">
      <c r="A98" s="153"/>
      <c r="B98" s="1332"/>
      <c r="C98" s="1332"/>
      <c r="D98" s="36"/>
      <c r="E98" s="1249"/>
      <c r="F98" s="2"/>
    </row>
    <row r="99" spans="1:28" x14ac:dyDescent="0.25">
      <c r="A99" s="153"/>
      <c r="B99" s="1319"/>
      <c r="C99" s="1254"/>
      <c r="D99" s="25"/>
      <c r="E99" s="1249"/>
      <c r="F99" s="2"/>
    </row>
    <row r="100" spans="1:28" x14ac:dyDescent="0.25">
      <c r="B100" s="1319"/>
      <c r="C100" s="1254"/>
      <c r="D100" s="36"/>
    </row>
    <row r="101" spans="1:28" x14ac:dyDescent="0.25">
      <c r="B101" s="1319"/>
      <c r="C101" s="1254"/>
      <c r="D101" s="36"/>
    </row>
    <row r="102" spans="1:28" ht="15" customHeight="1" x14ac:dyDescent="0.25">
      <c r="B102" s="1319"/>
      <c r="C102" s="1254"/>
      <c r="D102" s="36"/>
    </row>
    <row r="103" spans="1:28" x14ac:dyDescent="0.25">
      <c r="B103" s="1319"/>
      <c r="C103" s="1254"/>
      <c r="D103" s="36"/>
    </row>
    <row r="104" spans="1:28" x14ac:dyDescent="0.25">
      <c r="B104" s="1319"/>
      <c r="C104" s="1254"/>
      <c r="D104" s="36"/>
    </row>
    <row r="105" spans="1:28" ht="15" customHeight="1" x14ac:dyDescent="0.25">
      <c r="B105" s="2151"/>
      <c r="C105" s="2151"/>
      <c r="D105" s="36"/>
    </row>
    <row r="106" spans="1:28" x14ac:dyDescent="0.25">
      <c r="B106" s="2151"/>
      <c r="C106" s="2151"/>
      <c r="D106" s="36"/>
    </row>
    <row r="107" spans="1:28" x14ac:dyDescent="0.25">
      <c r="B107" s="1319"/>
      <c r="C107" s="1254"/>
      <c r="D107" s="6"/>
    </row>
    <row r="108" spans="1:28" x14ac:dyDescent="0.25">
      <c r="B108" s="1319"/>
      <c r="C108" s="1254"/>
      <c r="D108" s="36"/>
    </row>
    <row r="109" spans="1:28" x14ac:dyDescent="0.25">
      <c r="B109" s="1319"/>
      <c r="C109" s="1254"/>
      <c r="D109" s="36"/>
    </row>
    <row r="110" spans="1:28" ht="28.5" customHeight="1" x14ac:dyDescent="0.25">
      <c r="B110" s="1319"/>
      <c r="C110" s="1254"/>
      <c r="D110" s="25"/>
    </row>
    <row r="111" spans="1:28" x14ac:dyDescent="0.25">
      <c r="B111" s="1319"/>
      <c r="C111" s="1254"/>
      <c r="D111" s="36"/>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sheetData>
  <mergeCells count="1">
    <mergeCell ref="B105:C106"/>
  </mergeCells>
  <pageMargins left="0.25" right="0.25" top="0.5" bottom="0.5" header="0.25" footer="0.25"/>
  <pageSetup paperSize="5" scale="70" orientation="portrait" r:id="rId1"/>
  <headerFooter>
    <oddHeader>&amp;L&amp;F</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126"/>
  <sheetViews>
    <sheetView zoomScaleNormal="100" workbookViewId="0">
      <pane xSplit="3" ySplit="6" topLeftCell="D10"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8.7109375" style="1550" bestFit="1"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286</v>
      </c>
      <c r="D1" s="97">
        <v>0</v>
      </c>
      <c r="E1" s="1241"/>
      <c r="F1" s="98"/>
      <c r="G1" s="75"/>
      <c r="H1" s="99">
        <v>0</v>
      </c>
      <c r="I1" s="1241"/>
      <c r="L1" s="123">
        <v>0</v>
      </c>
      <c r="M1" s="1241"/>
      <c r="P1" s="123">
        <v>0</v>
      </c>
      <c r="Q1" s="1241"/>
      <c r="T1" s="86">
        <v>0</v>
      </c>
      <c r="U1" s="98"/>
      <c r="X1" s="86">
        <v>0</v>
      </c>
      <c r="Y1" s="98"/>
      <c r="AB1" s="86">
        <v>0</v>
      </c>
      <c r="AC1" s="98"/>
    </row>
    <row r="2" spans="1:29" ht="17.25" x14ac:dyDescent="0.4">
      <c r="B2" s="1319" t="s">
        <v>59</v>
      </c>
      <c r="C2" s="1425" t="s">
        <v>873</v>
      </c>
      <c r="D2" s="99">
        <v>0</v>
      </c>
      <c r="E2" s="1241"/>
      <c r="F2" s="98"/>
      <c r="G2" s="1534"/>
      <c r="H2" s="99">
        <v>0</v>
      </c>
      <c r="I2" s="1241"/>
      <c r="L2" s="87">
        <v>0</v>
      </c>
      <c r="M2" s="1241"/>
      <c r="P2" s="87">
        <v>0</v>
      </c>
      <c r="Q2" s="1241"/>
      <c r="T2" s="87">
        <v>0</v>
      </c>
      <c r="U2" s="98"/>
      <c r="X2" s="87">
        <v>0</v>
      </c>
      <c r="Y2" s="98"/>
      <c r="AB2" s="87">
        <v>0</v>
      </c>
      <c r="AC2" s="98"/>
    </row>
    <row r="3" spans="1:29" x14ac:dyDescent="0.25">
      <c r="D3" s="425">
        <f>+SUM(D1:D2)</f>
        <v>0</v>
      </c>
      <c r="E3" s="1242"/>
      <c r="F3" s="100"/>
      <c r="G3" s="1527"/>
      <c r="H3" s="425">
        <f>+SUM(H1:H2)</f>
        <v>0</v>
      </c>
      <c r="I3" s="1253"/>
      <c r="L3" s="123">
        <f>SUM(L1:L2)</f>
        <v>0</v>
      </c>
      <c r="M3" s="1254"/>
      <c r="P3" s="123">
        <f>SUM(P1:P2)</f>
        <v>0</v>
      </c>
      <c r="Q3" s="1254"/>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1526770.77</v>
      </c>
      <c r="E7" s="1315"/>
      <c r="H7" s="2">
        <v>807000</v>
      </c>
      <c r="I7" s="1315"/>
      <c r="J7" s="60"/>
      <c r="L7" s="2">
        <f>H89</f>
        <v>0</v>
      </c>
      <c r="M7" s="1315"/>
      <c r="P7" s="2">
        <f>L89</f>
        <v>407500</v>
      </c>
      <c r="Q7" s="1315"/>
      <c r="T7" s="2">
        <f>P89</f>
        <v>815000</v>
      </c>
      <c r="U7" s="105"/>
      <c r="X7" s="2">
        <f>T89</f>
        <v>1222500</v>
      </c>
      <c r="Y7" s="105"/>
      <c r="AB7" s="2">
        <f>X89</f>
        <v>1178840</v>
      </c>
      <c r="AC7" s="105"/>
    </row>
    <row r="8" spans="1:29" x14ac:dyDescent="0.25">
      <c r="E8" s="1315"/>
      <c r="H8" s="2"/>
      <c r="I8" s="1315"/>
      <c r="L8" s="2"/>
      <c r="M8" s="1315"/>
      <c r="Q8" s="1315"/>
      <c r="U8" s="105"/>
      <c r="Y8" s="105"/>
      <c r="AC8" s="105"/>
    </row>
    <row r="9" spans="1:29" x14ac:dyDescent="0.25">
      <c r="B9" s="1317" t="s">
        <v>52</v>
      </c>
      <c r="C9" s="1243" t="s">
        <v>414</v>
      </c>
      <c r="D9" s="2">
        <v>450000</v>
      </c>
      <c r="E9" s="1315"/>
      <c r="G9" s="1527">
        <f>IF(D9=0,"0.00%",(H9-D9)/D9)</f>
        <v>0</v>
      </c>
      <c r="H9" s="3">
        <f>+D9</f>
        <v>450000</v>
      </c>
      <c r="I9" s="1315"/>
      <c r="J9" s="61"/>
      <c r="K9" s="1527">
        <f>IF(H9=0,"0.00%",(L9-H9)/H9)</f>
        <v>0</v>
      </c>
      <c r="L9" s="3">
        <f>+H9</f>
        <v>450000</v>
      </c>
      <c r="M9" s="1315"/>
      <c r="O9" s="1527">
        <f>IF(L9=0,"0.00%",(P9-L9)/L9)</f>
        <v>0</v>
      </c>
      <c r="P9" s="3">
        <f>+L9</f>
        <v>450000</v>
      </c>
      <c r="Q9" s="1315"/>
      <c r="S9" s="83">
        <f>IF(P9=0,"0.00%",(T9-P9)/P9)</f>
        <v>0</v>
      </c>
      <c r="T9" s="3">
        <f>+P9</f>
        <v>450000</v>
      </c>
      <c r="U9" s="105"/>
      <c r="W9" s="83">
        <f>IF(T9=0,"0.00%",(X9-T9)/T9)</f>
        <v>-1</v>
      </c>
      <c r="X9" s="3">
        <f>X3</f>
        <v>0</v>
      </c>
      <c r="Y9" s="105"/>
      <c r="AA9" s="83" t="str">
        <f>IF(X9=0,"0.00%",(AB9-X9)/X9)</f>
        <v>0.00%</v>
      </c>
      <c r="AB9" s="3">
        <f>AB3</f>
        <v>0</v>
      </c>
      <c r="AC9" s="105"/>
    </row>
    <row r="10" spans="1:29" x14ac:dyDescent="0.25">
      <c r="C10" s="1243" t="s">
        <v>481</v>
      </c>
      <c r="D10" s="2">
        <v>807000</v>
      </c>
      <c r="E10" s="1315"/>
      <c r="G10" s="1527">
        <f t="shared" ref="G10:G15" si="0">IF(D10=0,"0.00%",(H10-D10)/D10)</f>
        <v>-0.28825278810408922</v>
      </c>
      <c r="H10" s="3">
        <v>574380</v>
      </c>
      <c r="I10" s="1315"/>
      <c r="J10" s="61"/>
      <c r="K10" s="1527">
        <f>IF(H10=0,"0.00%",(L10-H10)/H10)</f>
        <v>-1</v>
      </c>
      <c r="L10" s="3"/>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1257000</v>
      </c>
      <c r="E11" s="1315"/>
      <c r="G11" s="1527">
        <f t="shared" si="0"/>
        <v>-0.18505966587112171</v>
      </c>
      <c r="H11" s="8">
        <f>SUM(H9:H10)</f>
        <v>1024380</v>
      </c>
      <c r="I11" s="1882">
        <f>+H11-D11</f>
        <v>-232620</v>
      </c>
      <c r="J11" s="62"/>
      <c r="K11" s="1527">
        <f>IF(H11=0,"0.00%",(L11-H11)/H11)</f>
        <v>-0.56070989281321382</v>
      </c>
      <c r="L11" s="8">
        <f>SUM(L9:L10)</f>
        <v>450000</v>
      </c>
      <c r="M11" s="1882">
        <f>+L11-H11</f>
        <v>-574380</v>
      </c>
      <c r="O11" s="1527">
        <f>IF(L11=0,"0.00%",(P11-L11)/L11)</f>
        <v>0</v>
      </c>
      <c r="P11" s="8">
        <f>SUM(P9:P10)</f>
        <v>450000</v>
      </c>
      <c r="Q11" s="1882">
        <f>+P11-L11</f>
        <v>0</v>
      </c>
      <c r="S11" s="83">
        <f>IF(P11=0,"0.00%",(T11-P11)/P11)</f>
        <v>0</v>
      </c>
      <c r="T11" s="78">
        <f>SUM(T9:T10)</f>
        <v>450000</v>
      </c>
      <c r="U11" s="105"/>
      <c r="W11" s="83">
        <f>IF(T11=0,"0.00%",(X11-T11)/T11)</f>
        <v>-1</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C13" s="1325" t="s">
        <v>64</v>
      </c>
      <c r="D13" s="9">
        <f>ROUND(D11-(D11/(1+E13)),0)</f>
        <v>0</v>
      </c>
      <c r="E13" s="1426">
        <v>0</v>
      </c>
      <c r="G13" s="1527" t="str">
        <f t="shared" si="0"/>
        <v>0.00%</v>
      </c>
      <c r="H13" s="9">
        <f>ROUND(H11-(H11/(1+E13)),0)</f>
        <v>0</v>
      </c>
      <c r="I13" s="1315"/>
      <c r="J13" s="64"/>
      <c r="K13" s="1527" t="str">
        <f>IF(H13=0,"0.00%",(L13-H13)/H13)</f>
        <v>0.00%</v>
      </c>
      <c r="L13" s="9">
        <f>ROUND(L11-(L11/(1+E13)),0)</f>
        <v>0</v>
      </c>
      <c r="M13" s="1315"/>
      <c r="O13" s="1527" t="str">
        <f>IF(L13=0,"0.00%",(P13-L13)/L13)</f>
        <v>0.00%</v>
      </c>
      <c r="P13" s="9">
        <f>ROUND(P11-(P11/(1+E13)),0)</f>
        <v>0</v>
      </c>
      <c r="Q13" s="1315"/>
      <c r="S13" s="83" t="str">
        <f>IF(P13=0,"0.00%",(T13-P13)/P13)</f>
        <v>0.00%</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+D11+D7-D13</f>
        <v>2783770.77</v>
      </c>
      <c r="E15" s="1315"/>
      <c r="G15" s="1527">
        <f t="shared" si="0"/>
        <v>-0.34212255558671595</v>
      </c>
      <c r="H15" s="10">
        <f>+H11+H7-H13</f>
        <v>1831380</v>
      </c>
      <c r="I15" s="1315"/>
      <c r="J15" s="62"/>
      <c r="K15" s="1527">
        <f>IF(H15=0,"0.00%",(L15-H15)/H15)</f>
        <v>-0.75428365494872718</v>
      </c>
      <c r="L15" s="10">
        <f>+L11+L7-L13</f>
        <v>450000</v>
      </c>
      <c r="M15" s="1315"/>
      <c r="O15" s="1527">
        <f>IF(L15=0,"0.00%",(P15-L15)/L15)</f>
        <v>0.90555555555555556</v>
      </c>
      <c r="P15" s="10">
        <f>+P11+P7-P13</f>
        <v>857500</v>
      </c>
      <c r="Q15" s="1315"/>
      <c r="S15" s="83">
        <f>IF(P15=0,"0.00%",(T15-P15)/P15)</f>
        <v>-0.47521865889212828</v>
      </c>
      <c r="T15" s="19">
        <f>T11-T13</f>
        <v>450000</v>
      </c>
      <c r="U15" s="105"/>
      <c r="W15" s="83">
        <f>IF(T15=0,"0.00%",(X15-T15)/T15)</f>
        <v>-1</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397">
        <v>0.02</v>
      </c>
      <c r="J19" s="29"/>
      <c r="L19" s="14" t="s">
        <v>48</v>
      </c>
      <c r="M19" s="1397">
        <v>0.02</v>
      </c>
      <c r="P19" s="14" t="s">
        <v>48</v>
      </c>
      <c r="Q19" s="1397">
        <v>0.02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t="str">
        <f t="shared" ref="I21:I28" si="3">TEXT($I$19,"0.0%")&amp;" = Est. S &amp; C"</f>
        <v>2.0% = Est. S &amp; C</v>
      </c>
      <c r="J21" s="66"/>
      <c r="K21" s="1527" t="str">
        <f t="shared" ref="K21:K27" si="4">IF(H21=0,"0.00%",(L21-H21)/H21)</f>
        <v>0.00%</v>
      </c>
      <c r="L21" s="2">
        <f>ROUND(H21*(1+M19),0)</f>
        <v>0</v>
      </c>
      <c r="M21" s="1257" t="str">
        <f>TEXT(M19,"0.0%")&amp;" = Est. S &amp; C"</f>
        <v>2.0% = Est. S &amp; C</v>
      </c>
      <c r="O21" s="1527" t="str">
        <f t="shared" ref="O21:O27" si="5">IF(L21=0,"0.00%",(P21-L21)/L21)</f>
        <v>0.00%</v>
      </c>
      <c r="P21" s="2">
        <f>ROUND(L21*(1+Q19),0)</f>
        <v>0</v>
      </c>
      <c r="Q21" s="125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2.0% = Est. S &amp; C</v>
      </c>
      <c r="J22" s="66"/>
      <c r="K22" s="1527" t="str">
        <f t="shared" si="4"/>
        <v>0.00%</v>
      </c>
      <c r="L22" s="2">
        <f>ROUND(H22*(1+M19),0)</f>
        <v>0</v>
      </c>
      <c r="M22" s="1257" t="str">
        <f>TEXT(M19,"0.0%")&amp;" = Est. S &amp; C"</f>
        <v>2.0% = Est. S &amp; C</v>
      </c>
      <c r="O22" s="1527" t="str">
        <f t="shared" si="5"/>
        <v>0.00%</v>
      </c>
      <c r="P22" s="2">
        <f>ROUND(L22*(1+Q19),0)</f>
        <v>0</v>
      </c>
      <c r="Q22" s="125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2.0% = Est. S &amp; C</v>
      </c>
      <c r="J23" s="66"/>
      <c r="K23" s="1527" t="str">
        <f t="shared" si="4"/>
        <v>0.00%</v>
      </c>
      <c r="L23" s="2">
        <f>ROUND(H23*(1+M19),0)</f>
        <v>0</v>
      </c>
      <c r="M23" s="1257" t="str">
        <f>TEXT(M19,"0.0%")&amp;" = Est. S &amp; C"</f>
        <v>2.0% = Est. S &amp; C</v>
      </c>
      <c r="O23" s="1527" t="str">
        <f t="shared" si="5"/>
        <v>0.00%</v>
      </c>
      <c r="P23" s="2">
        <f>ROUND(L23*(1+Q19),0)</f>
        <v>0</v>
      </c>
      <c r="Q23" s="125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2.0% = Est. S &amp; C</v>
      </c>
      <c r="J24" s="66"/>
      <c r="K24" s="1527" t="str">
        <f t="shared" si="4"/>
        <v>0.00%</v>
      </c>
      <c r="L24" s="2">
        <f>ROUND(H24*(1+M19),0)</f>
        <v>0</v>
      </c>
      <c r="M24" s="1257" t="str">
        <f>TEXT(M19,"0.0%")&amp;" = Est. S &amp; C"</f>
        <v>2.0% = Est. S &amp; C</v>
      </c>
      <c r="O24" s="1527" t="str">
        <f t="shared" si="5"/>
        <v>0.00%</v>
      </c>
      <c r="P24" s="2">
        <f>ROUND(L24*(1+Q19),0)</f>
        <v>0</v>
      </c>
      <c r="Q24" s="125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t="str">
        <f t="shared" si="3"/>
        <v>2.0% = Est. S &amp; C</v>
      </c>
      <c r="J25" s="66"/>
      <c r="K25" s="1527" t="str">
        <f t="shared" si="4"/>
        <v>0.00%</v>
      </c>
      <c r="L25" s="2">
        <f>ROUND(H25*(1+M19),0)</f>
        <v>0</v>
      </c>
      <c r="M25" s="1257" t="str">
        <f>TEXT(M19,"0.0%")&amp;" = Est. S &amp; C"</f>
        <v>2.0% = Est. S &amp; C</v>
      </c>
      <c r="O25" s="1527" t="str">
        <f t="shared" si="5"/>
        <v>0.00%</v>
      </c>
      <c r="P25" s="2">
        <f>ROUND(L25*(1+Q19),0)</f>
        <v>0</v>
      </c>
      <c r="Q25" s="125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2.0% = Est. S &amp; C</v>
      </c>
      <c r="J26" s="66"/>
      <c r="K26" s="1527" t="str">
        <f t="shared" si="4"/>
        <v>0.00%</v>
      </c>
      <c r="L26" s="2">
        <f>ROUND(H26*(1+M19),0)</f>
        <v>0</v>
      </c>
      <c r="M26" s="1257" t="str">
        <f>TEXT(M19,"0.0%")&amp;" = Est. S &amp; C"</f>
        <v>2.0% = Est. S &amp; C</v>
      </c>
      <c r="O26" s="1527" t="str">
        <f t="shared" si="5"/>
        <v>0.00%</v>
      </c>
      <c r="P26" s="2">
        <f>ROUND(L26*(1+Q19),0)</f>
        <v>0</v>
      </c>
      <c r="Q26" s="125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2.0% = Est. S &amp; C</v>
      </c>
      <c r="J27" s="66"/>
      <c r="K27" s="1527" t="str">
        <f t="shared" si="4"/>
        <v>0.00%</v>
      </c>
      <c r="L27" s="2">
        <f>ROUND(H27*(1+M19),0)</f>
        <v>0</v>
      </c>
      <c r="M27" s="1257" t="str">
        <f>TEXT(M19,"0.0%")&amp;" = Est. S &amp; C"</f>
        <v>2.0% = Est. S &amp; C</v>
      </c>
      <c r="O27" s="1527" t="str">
        <f t="shared" si="5"/>
        <v>0.00%</v>
      </c>
      <c r="P27" s="2">
        <f>ROUND(L27*(1+Q19),0)</f>
        <v>0</v>
      </c>
      <c r="Q27" s="125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2.0%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hidden="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c r="D33" s="2">
        <v>0</v>
      </c>
      <c r="E33" s="1249"/>
      <c r="F33" s="2"/>
      <c r="G33" s="1527" t="str">
        <f t="shared" ref="G33:G39" si="9">IF(D33=0,"0.00%",(H33-D33)/D33)</f>
        <v>0.00%</v>
      </c>
      <c r="H33" s="2">
        <f t="shared" ref="H33:H39" si="10">ROUND(D33*(1+$I$19),0)</f>
        <v>0</v>
      </c>
      <c r="I33" s="1257" t="str">
        <f t="shared" ref="I33:I39" si="11">TEXT($I$19,"0.0%")&amp;" = Est. S &amp; C"</f>
        <v>2.0% = Est. S &amp; C</v>
      </c>
      <c r="J33" s="66"/>
      <c r="K33" s="1527" t="str">
        <f t="shared" ref="K33:K39" si="12">IF(H33=0,"0.00%",(L33-H33)/H33)</f>
        <v>0.00%</v>
      </c>
      <c r="L33" s="2">
        <f>ROUND(H33*(1+M19),0)</f>
        <v>0</v>
      </c>
      <c r="M33" s="1257"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D34" s="2">
        <v>0</v>
      </c>
      <c r="E34" s="1249"/>
      <c r="F34" s="2"/>
      <c r="G34" s="1527" t="str">
        <f t="shared" si="9"/>
        <v>0.00%</v>
      </c>
      <c r="H34" s="2">
        <f t="shared" si="10"/>
        <v>0</v>
      </c>
      <c r="I34" s="1257" t="str">
        <f t="shared" si="11"/>
        <v>2.0% = Est. S &amp; C</v>
      </c>
      <c r="J34" s="66"/>
      <c r="K34" s="1527" t="str">
        <f t="shared" si="12"/>
        <v>0.00%</v>
      </c>
      <c r="L34" s="2">
        <f>ROUND(H34*(1+M19),0)</f>
        <v>0</v>
      </c>
      <c r="M34" s="1257" t="str">
        <f>TEXT(M19,"0.0%")&amp;" = Est. S &amp; C"</f>
        <v>2.0% = Est. S &amp; C</v>
      </c>
      <c r="O34" s="1527" t="str">
        <f t="shared" si="13"/>
        <v>0.00%</v>
      </c>
      <c r="P34" s="2">
        <f>ROUND(L34*(1+Q19),0)</f>
        <v>0</v>
      </c>
      <c r="Q34" s="125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D35" s="2">
        <v>0</v>
      </c>
      <c r="E35" s="1249"/>
      <c r="F35" s="2"/>
      <c r="G35" s="1527" t="str">
        <f t="shared" si="9"/>
        <v>0.00%</v>
      </c>
      <c r="H35" s="2">
        <f t="shared" si="10"/>
        <v>0</v>
      </c>
      <c r="I35" s="1257" t="str">
        <f t="shared" si="11"/>
        <v>2.0% = Est. S &amp; C</v>
      </c>
      <c r="J35" s="66"/>
      <c r="K35" s="1527" t="str">
        <f t="shared" si="12"/>
        <v>0.00%</v>
      </c>
      <c r="L35" s="2">
        <f>ROUND(H35*(1+M19),0)</f>
        <v>0</v>
      </c>
      <c r="M35" s="1257" t="str">
        <f>TEXT(M19,"0.0%")&amp;" = Est. S &amp; C"</f>
        <v>2.0% = Est. S &amp; C</v>
      </c>
      <c r="O35" s="1527" t="str">
        <f t="shared" si="13"/>
        <v>0.00%</v>
      </c>
      <c r="P35" s="2">
        <f>ROUND(L35*(1+Q19),0)</f>
        <v>0</v>
      </c>
      <c r="Q35" s="125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D36" s="2">
        <v>0</v>
      </c>
      <c r="E36" s="1249"/>
      <c r="F36" s="2"/>
      <c r="G36" s="1527" t="str">
        <f t="shared" si="9"/>
        <v>0.00%</v>
      </c>
      <c r="H36" s="2">
        <f t="shared" si="10"/>
        <v>0</v>
      </c>
      <c r="I36" s="1257" t="str">
        <f t="shared" si="11"/>
        <v>2.0% = Est. S &amp; C</v>
      </c>
      <c r="J36" s="66"/>
      <c r="K36" s="1527" t="str">
        <f t="shared" si="12"/>
        <v>0.00%</v>
      </c>
      <c r="L36" s="2">
        <f>ROUND(H36*(1+M19),0)</f>
        <v>0</v>
      </c>
      <c r="M36" s="1257" t="str">
        <f>TEXT(M19,"0.0%")&amp;" = Est. S &amp; C"</f>
        <v>2.0% = Est. S &amp; C</v>
      </c>
      <c r="O36" s="1527" t="str">
        <f t="shared" si="13"/>
        <v>0.00%</v>
      </c>
      <c r="P36" s="2">
        <f>ROUND(L36*(1+Q19),0)</f>
        <v>0</v>
      </c>
      <c r="Q36" s="125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D37" s="2">
        <v>0</v>
      </c>
      <c r="E37" s="1249"/>
      <c r="F37" s="2"/>
      <c r="G37" s="1527" t="str">
        <f t="shared" si="9"/>
        <v>0.00%</v>
      </c>
      <c r="H37" s="2">
        <f t="shared" si="10"/>
        <v>0</v>
      </c>
      <c r="I37" s="1257" t="str">
        <f t="shared" si="11"/>
        <v>2.0% = Est. S &amp; C</v>
      </c>
      <c r="J37" s="66"/>
      <c r="K37" s="1527" t="str">
        <f t="shared" si="12"/>
        <v>0.00%</v>
      </c>
      <c r="L37" s="2">
        <f>ROUND(H37*(1+M19),0)</f>
        <v>0</v>
      </c>
      <c r="M37" s="1257" t="str">
        <f>TEXT(M19,"0.0%")&amp;" = Est. S &amp; C"</f>
        <v>2.0% = Est. S &amp; C</v>
      </c>
      <c r="O37" s="1527" t="str">
        <f t="shared" si="13"/>
        <v>0.00%</v>
      </c>
      <c r="P37" s="2">
        <f>ROUND(L37*(1+Q19),0)</f>
        <v>0</v>
      </c>
      <c r="Q37" s="125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D38" s="2">
        <v>0</v>
      </c>
      <c r="E38" s="1249"/>
      <c r="F38" s="2"/>
      <c r="G38" s="1527" t="str">
        <f t="shared" si="9"/>
        <v>0.00%</v>
      </c>
      <c r="H38" s="2">
        <f t="shared" si="10"/>
        <v>0</v>
      </c>
      <c r="I38" s="1257" t="str">
        <f t="shared" si="11"/>
        <v>2.0% = Est. S &amp; C</v>
      </c>
      <c r="J38" s="66"/>
      <c r="K38" s="1527" t="str">
        <f t="shared" si="12"/>
        <v>0.00%</v>
      </c>
      <c r="L38" s="2">
        <f>ROUND(H38*(1+M19),0)</f>
        <v>0</v>
      </c>
      <c r="M38" s="1257" t="str">
        <f>TEXT(M19,"0.0%")&amp;" = Est. S &amp; C"</f>
        <v>2.0% = Est. S &amp; C</v>
      </c>
      <c r="O38" s="1527" t="str">
        <f t="shared" si="13"/>
        <v>0.00%</v>
      </c>
      <c r="P38" s="2">
        <f>ROUND(L38*(1+Q19),0)</f>
        <v>0</v>
      </c>
      <c r="Q38" s="125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0"/>
        <v>0</v>
      </c>
      <c r="I39" s="1257" t="str">
        <f t="shared" si="11"/>
        <v>2.0% = Est. S &amp; C</v>
      </c>
      <c r="J39" s="66"/>
      <c r="K39" s="1527" t="str">
        <f t="shared" si="12"/>
        <v>0.00%</v>
      </c>
      <c r="L39" s="2">
        <f>ROUND(H39*(1+M19),0)</f>
        <v>0</v>
      </c>
      <c r="M39" s="1257" t="str">
        <f>TEXT(M19,"0.0%")&amp;" = Est. S &amp; C"</f>
        <v>2.0% = Est. S &amp; C</v>
      </c>
      <c r="O39" s="1527" t="str">
        <f t="shared" si="13"/>
        <v>0.00%</v>
      </c>
      <c r="P39" s="2">
        <f>ROUND(L39*(1+Q19),0)</f>
        <v>0</v>
      </c>
      <c r="Q39" s="125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hidden="1"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3"/>
      <c r="B42" s="1317" t="s">
        <v>28</v>
      </c>
      <c r="E42" s="1249"/>
      <c r="F42" s="2"/>
      <c r="H42" s="2"/>
      <c r="I42" s="1257"/>
      <c r="J42" s="66"/>
      <c r="L42" s="2"/>
      <c r="M42" s="1335"/>
      <c r="Q42" s="1335"/>
      <c r="T42" s="2"/>
      <c r="U42" s="73"/>
      <c r="X42" s="2"/>
      <c r="Y42" s="73"/>
      <c r="AB42" s="2"/>
      <c r="AC42" s="73"/>
    </row>
    <row r="43" spans="1:29" hidden="1" x14ac:dyDescent="0.25">
      <c r="A43" s="155"/>
      <c r="B43" s="1323" t="s">
        <v>27</v>
      </c>
      <c r="E43" s="1249"/>
      <c r="F43" s="2"/>
      <c r="H43" s="2"/>
      <c r="I43" s="1257"/>
      <c r="J43" s="66"/>
      <c r="L43" s="2"/>
      <c r="M43" s="1335"/>
      <c r="Q43" s="1335"/>
      <c r="T43" s="2"/>
      <c r="U43" s="73"/>
      <c r="X43" s="2"/>
      <c r="Y43" s="73"/>
      <c r="AB43" s="2"/>
      <c r="AC43" s="73"/>
    </row>
    <row r="44" spans="1:29" hidden="1" x14ac:dyDescent="0.25">
      <c r="A44" s="153"/>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hidden="1" x14ac:dyDescent="0.25">
      <c r="A45" s="153"/>
      <c r="B45" s="1326" t="s">
        <v>84</v>
      </c>
      <c r="C45" s="1243" t="s">
        <v>77</v>
      </c>
      <c r="D45" s="2">
        <v>0</v>
      </c>
      <c r="E45" s="1240" t="str">
        <f>TEXT('MYP Assumptions'!$D$53,"0.00%")&amp;", PERS rate"</f>
        <v>13.89%, PERS rate</v>
      </c>
      <c r="F45" s="2"/>
      <c r="G45" s="1527" t="str">
        <f t="shared" si="17"/>
        <v>0.00%</v>
      </c>
      <c r="H45" s="2">
        <f>ROUND(H41*LEFT(I45,6),0)</f>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hidden="1" x14ac:dyDescent="0.25">
      <c r="A46" s="153"/>
      <c r="B46" s="1326" t="s">
        <v>85</v>
      </c>
      <c r="C46" s="1243" t="s">
        <v>78</v>
      </c>
      <c r="D46" s="2">
        <v>0</v>
      </c>
      <c r="E46" s="1240" t="str">
        <f>TEXT('MYP Assumptions'!$D$54,"0.00%")&amp;", SS rate"</f>
        <v>6.20%, SS rate</v>
      </c>
      <c r="F46" s="2"/>
      <c r="G46" s="1527" t="str">
        <f t="shared" si="17"/>
        <v>0.00%</v>
      </c>
      <c r="H46" s="2">
        <f>ROUND(H41*LEFT(I46,5),0)</f>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hidden="1" x14ac:dyDescent="0.25">
      <c r="A47" s="153"/>
      <c r="B47" s="1326" t="s">
        <v>86</v>
      </c>
      <c r="C47" s="1243" t="s">
        <v>79</v>
      </c>
      <c r="D47" s="2">
        <v>0</v>
      </c>
      <c r="E47" s="1240" t="str">
        <f>TEXT('MYP Assumptions'!$D$55,"0.00%")&amp;", Medicare rate"</f>
        <v>1.45%, Medicare rate</v>
      </c>
      <c r="F47" s="2"/>
      <c r="G47" s="1527" t="str">
        <f t="shared" si="17"/>
        <v>0.00%</v>
      </c>
      <c r="H47" s="2">
        <f>ROUND((H41+H30)*LEFT(I47,5),0)</f>
        <v>0</v>
      </c>
      <c r="I47" s="1240" t="str">
        <f>TEXT('MYP Assumptions'!E55,"0.00%")&amp;", no rate change"</f>
        <v>1.45%, no rate change</v>
      </c>
      <c r="J47" s="66"/>
      <c r="K47" s="1527" t="str">
        <f t="shared" si="18"/>
        <v>0.00%</v>
      </c>
      <c r="L47" s="2">
        <f>ROUND((L41+L30)*LEFT(M47,5),0)</f>
        <v>0</v>
      </c>
      <c r="M47" s="1240"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hidden="1" x14ac:dyDescent="0.25">
      <c r="A48" s="153"/>
      <c r="B48" s="1326" t="s">
        <v>87</v>
      </c>
      <c r="C48" s="1243" t="s">
        <v>80</v>
      </c>
      <c r="D48" s="2">
        <v>0</v>
      </c>
      <c r="E48" s="1240"/>
      <c r="F48" s="2"/>
      <c r="G48" s="1527" t="str">
        <f t="shared" si="17"/>
        <v>0.00%</v>
      </c>
      <c r="H48" s="2">
        <f>ROUND((D48)*(LEFT(I48,5)+1),0)</f>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hidden="1" x14ac:dyDescent="0.25">
      <c r="A49" s="153"/>
      <c r="B49" s="1326" t="s">
        <v>88</v>
      </c>
      <c r="C49" s="1243" t="s">
        <v>81</v>
      </c>
      <c r="D49" s="2">
        <v>0</v>
      </c>
      <c r="E49" s="1240" t="str">
        <f>TEXT('MYP Assumptions'!$D$56,"0.00%")&amp;", SUI rate"</f>
        <v>0.05%, SUI rate</v>
      </c>
      <c r="F49" s="2"/>
      <c r="G49" s="1527" t="str">
        <f t="shared" si="17"/>
        <v>0.00%</v>
      </c>
      <c r="H49" s="2">
        <f>ROUND((H41+H30)*LEFT(I49,5),0)</f>
        <v>0</v>
      </c>
      <c r="I49" s="1240" t="str">
        <f>TEXT('MYP Assumptions'!E56,"0.00%")&amp;", no rate change"</f>
        <v>0.05%, no rate change</v>
      </c>
      <c r="J49" s="66"/>
      <c r="K49" s="1527" t="str">
        <f t="shared" si="18"/>
        <v>0.00%</v>
      </c>
      <c r="L49" s="2">
        <f>ROUND((L41+L30)*LEFT(M49,5),0)</f>
        <v>0</v>
      </c>
      <c r="M49" s="1240"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hidden="1" x14ac:dyDescent="0.25">
      <c r="A50" s="153"/>
      <c r="B50" s="1326" t="s">
        <v>89</v>
      </c>
      <c r="C50" s="1243" t="s">
        <v>82</v>
      </c>
      <c r="D50" s="2">
        <v>0</v>
      </c>
      <c r="E50" s="1240" t="str">
        <f>TEXT('MYP Assumptions'!$D$57,"0.00%")&amp;", W/C rate"</f>
        <v>1.10%, W/C rate</v>
      </c>
      <c r="F50" s="2"/>
      <c r="G50" s="1527" t="str">
        <f t="shared" si="17"/>
        <v>0.00%</v>
      </c>
      <c r="H50" s="2">
        <f>ROUND((H41+H30)*LEFT(I50,5),0)</f>
        <v>0</v>
      </c>
      <c r="I50" s="1240" t="str">
        <f>TEXT('MYP Assumptions'!E57,"0.00%")&amp;", no rate change"</f>
        <v>1.10%, no rate change</v>
      </c>
      <c r="J50" s="66"/>
      <c r="K50" s="1527" t="str">
        <f t="shared" si="18"/>
        <v>0.00%</v>
      </c>
      <c r="L50" s="2">
        <f>ROUND((L41+L30)*LEFT(M50,5),0)</f>
        <v>0</v>
      </c>
      <c r="M50" s="1240"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hidden="1" x14ac:dyDescent="0.25">
      <c r="A51" s="153"/>
      <c r="B51" s="1326" t="s">
        <v>90</v>
      </c>
      <c r="C51" s="1243" t="s">
        <v>92</v>
      </c>
      <c r="D51" s="2">
        <v>0</v>
      </c>
      <c r="E51" s="1249"/>
      <c r="F51" s="2"/>
      <c r="G51" s="1527" t="str">
        <f t="shared" si="17"/>
        <v>0.00%</v>
      </c>
      <c r="H51" s="2">
        <f>D51</f>
        <v>0</v>
      </c>
      <c r="I51" s="1240" t="s">
        <v>166</v>
      </c>
      <c r="J51" s="66"/>
      <c r="K51" s="1527" t="str">
        <f t="shared" si="18"/>
        <v>0.00%</v>
      </c>
      <c r="L51" s="2">
        <f>H51</f>
        <v>0</v>
      </c>
      <c r="M51" s="1240" t="s">
        <v>166</v>
      </c>
      <c r="O51" s="1527" t="str">
        <f t="shared" si="19"/>
        <v>0.00%</v>
      </c>
      <c r="P51" s="2">
        <f>L51</f>
        <v>0</v>
      </c>
      <c r="Q51" s="1240"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3"/>
      <c r="B52" s="1326" t="s">
        <v>91</v>
      </c>
      <c r="C52" s="1243" t="s">
        <v>93</v>
      </c>
      <c r="D52" s="2">
        <v>0</v>
      </c>
      <c r="E52" s="1249"/>
      <c r="F52" s="2"/>
      <c r="G52" s="1527" t="str">
        <f t="shared" si="17"/>
        <v>0.00%</v>
      </c>
      <c r="H52" s="2">
        <f>D52</f>
        <v>0</v>
      </c>
      <c r="I52" s="1240" t="s">
        <v>166</v>
      </c>
      <c r="J52" s="66"/>
      <c r="K52" s="1527" t="str">
        <f t="shared" si="18"/>
        <v>0.00%</v>
      </c>
      <c r="L52" s="2">
        <f>H52</f>
        <v>0</v>
      </c>
      <c r="M52" s="1240" t="s">
        <v>166</v>
      </c>
      <c r="O52" s="1527" t="str">
        <f t="shared" si="19"/>
        <v>0.00%</v>
      </c>
      <c r="P52" s="2">
        <f>L52</f>
        <v>0</v>
      </c>
      <c r="Q52" s="1240"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4"/>
      <c r="B53" s="1326"/>
      <c r="D53" s="8">
        <f>SUM(D44:D52)</f>
        <v>0</v>
      </c>
      <c r="E53" s="1249"/>
      <c r="F53" s="2"/>
      <c r="G53" s="1527" t="str">
        <f t="shared" si="17"/>
        <v>0.00%</v>
      </c>
      <c r="H53" s="8">
        <f>SUM(H44:H52)</f>
        <v>0</v>
      </c>
      <c r="I53" s="1258"/>
      <c r="J53" s="29"/>
      <c r="K53" s="1527" t="str">
        <f t="shared" si="18"/>
        <v>0.00%</v>
      </c>
      <c r="L53" s="8">
        <f>SUM(L44:L52)</f>
        <v>0</v>
      </c>
      <c r="M53" s="1335"/>
      <c r="O53" s="1527" t="str">
        <f t="shared" si="19"/>
        <v>0.00%</v>
      </c>
      <c r="P53" s="8">
        <f>SUM(P44:P52)</f>
        <v>0</v>
      </c>
      <c r="Q53" s="1335"/>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5"/>
      <c r="B54" s="1326"/>
      <c r="E54" s="1249"/>
      <c r="F54" s="2"/>
      <c r="H54" s="2"/>
      <c r="I54" s="1257"/>
      <c r="J54" s="66"/>
      <c r="L54" s="2"/>
      <c r="M54" s="1335"/>
      <c r="Q54" s="1335"/>
      <c r="T54" s="2"/>
      <c r="U54" s="73"/>
      <c r="X54" s="2"/>
      <c r="Y54" s="73"/>
      <c r="AB54" s="2"/>
      <c r="AC54" s="73"/>
    </row>
    <row r="55" spans="1:29" hidden="1" x14ac:dyDescent="0.25">
      <c r="A55" s="154"/>
      <c r="B55" s="1323" t="s">
        <v>26</v>
      </c>
      <c r="D55" s="8">
        <f>SUM(D53,D41,D30)</f>
        <v>0</v>
      </c>
      <c r="E55" s="1249"/>
      <c r="F55" s="2"/>
      <c r="G55" s="1527" t="str">
        <f>IF(D55=0,"0.00%",(H55-D55)/D55)</f>
        <v>0.00%</v>
      </c>
      <c r="H55" s="8">
        <f>SUM(H53,H41,H30)</f>
        <v>0</v>
      </c>
      <c r="I55" s="1258"/>
      <c r="J55" s="29"/>
      <c r="K55" s="1527" t="str">
        <f>IF(H55=0,"0.00%",(L55-H55)/H55)</f>
        <v>0.00%</v>
      </c>
      <c r="L55" s="8">
        <f>SUM(L53,L41,L30)</f>
        <v>0</v>
      </c>
      <c r="M55" s="1335"/>
      <c r="O55" s="1527" t="str">
        <f>IF(L55=0,"0.00%",(P55-L55)/L55)</f>
        <v>0.00%</v>
      </c>
      <c r="P55" s="8">
        <f>SUM(P53,P41,P30)</f>
        <v>0</v>
      </c>
      <c r="Q55" s="1335"/>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6"/>
      <c r="E56" s="1249"/>
      <c r="F56" s="2"/>
      <c r="H56" s="2"/>
      <c r="I56" s="1257"/>
      <c r="J56" s="66"/>
      <c r="L56" s="2"/>
      <c r="M56" s="1335"/>
      <c r="Q56" s="1335"/>
      <c r="T56" s="2"/>
      <c r="U56" s="73"/>
      <c r="X56" s="2"/>
      <c r="Y56" s="73"/>
      <c r="AB56" s="2"/>
      <c r="AC56" s="73"/>
    </row>
    <row r="57" spans="1:29" x14ac:dyDescent="0.25">
      <c r="A57" s="153"/>
      <c r="E57" s="1249"/>
      <c r="F57" s="2"/>
      <c r="H57" s="2"/>
      <c r="I57" s="1257"/>
      <c r="J57" s="66"/>
      <c r="L57" s="2"/>
      <c r="M57" s="1335"/>
      <c r="Q57" s="1335"/>
      <c r="T57" s="2"/>
      <c r="U57" s="73"/>
      <c r="X57" s="2"/>
      <c r="Y57" s="73"/>
      <c r="AB57" s="2"/>
      <c r="AC57" s="73"/>
    </row>
    <row r="58" spans="1:29" x14ac:dyDescent="0.25">
      <c r="A58" s="156"/>
      <c r="B58" s="1327" t="s">
        <v>25</v>
      </c>
      <c r="C58" s="1259"/>
      <c r="E58" s="1249"/>
      <c r="F58" s="2"/>
      <c r="H58" s="2"/>
      <c r="I58" s="1257"/>
      <c r="J58" s="66"/>
      <c r="L58" s="2"/>
      <c r="M58" s="1335"/>
      <c r="Q58" s="1335"/>
      <c r="T58" s="2"/>
      <c r="U58" s="73"/>
      <c r="X58" s="2"/>
      <c r="Y58" s="73"/>
      <c r="AB58" s="2"/>
      <c r="AC58" s="73"/>
    </row>
    <row r="59" spans="1:29" x14ac:dyDescent="0.25">
      <c r="A59" s="153"/>
      <c r="B59" s="1326">
        <v>4110</v>
      </c>
      <c r="C59" s="1243" t="s">
        <v>287</v>
      </c>
      <c r="D59" s="2">
        <v>1933120.77</v>
      </c>
      <c r="E59" s="1249"/>
      <c r="F59" s="2"/>
      <c r="G59" s="1527">
        <f t="shared" ref="G59:G66" si="23">IF(D59=0,"0.00%",(H59-D59)/D59)</f>
        <v>-7.461549854435634E-2</v>
      </c>
      <c r="H59" s="2">
        <v>1788880</v>
      </c>
      <c r="I59" s="1240" t="s">
        <v>288</v>
      </c>
      <c r="J59" s="66"/>
      <c r="K59" s="1527">
        <f t="shared" ref="K59:K66" si="24">IF(H59=0,"0.00%",(L59-H59)/H59)</f>
        <v>-1</v>
      </c>
      <c r="L59" s="2"/>
      <c r="M59" s="1240" t="s">
        <v>288</v>
      </c>
      <c r="O59" s="1527" t="str">
        <f t="shared" ref="O59:O66" si="25">IF(L59=0,"0.00%",(P59-L59)/L59)</f>
        <v>0.00%</v>
      </c>
      <c r="P59" s="2">
        <v>0</v>
      </c>
      <c r="Q59" s="1240" t="s">
        <v>288</v>
      </c>
      <c r="S59" s="83" t="str">
        <f t="shared" ref="S59:S66" si="26">IF(P59=0,"0.00%",(T59-P59)/P59)</f>
        <v>0.00%</v>
      </c>
      <c r="T59" s="2">
        <v>0</v>
      </c>
      <c r="U59" s="81" t="s">
        <v>288</v>
      </c>
      <c r="W59" s="83" t="str">
        <f t="shared" ref="W59:W66" si="27">IF(T59=0,"0.00%",(X59-T59)/T59)</f>
        <v>0.00%</v>
      </c>
      <c r="X59" s="2">
        <f>ROUND(T59*(LEFT(Y59,5)+1),0)</f>
        <v>0</v>
      </c>
      <c r="Y59" s="81" t="str">
        <f>TEXT('MYP Assumptions'!I72,"0.00%")&amp;", CPI"</f>
        <v>2.73%, CPI</v>
      </c>
      <c r="AA59" s="83" t="str">
        <f t="shared" ref="AA59:AA66" si="28">IF(X59=0,"0.00%",(AB59-X59)/X59)</f>
        <v>0.00%</v>
      </c>
      <c r="AB59" s="2">
        <f>ROUND(X59*(LEFT(AC59,5)+1),0)</f>
        <v>0</v>
      </c>
      <c r="AC59" s="81" t="str">
        <f>TEXT('MYP Assumptions'!J72,"0.00%")&amp;", CPI"</f>
        <v>2.73%, CPI</v>
      </c>
    </row>
    <row r="60" spans="1:29" x14ac:dyDescent="0.25">
      <c r="A60" s="153"/>
      <c r="B60" s="1326">
        <v>4310</v>
      </c>
      <c r="C60" s="1243" t="s">
        <v>286</v>
      </c>
      <c r="D60" s="2">
        <v>450</v>
      </c>
      <c r="E60" s="1249"/>
      <c r="F60" s="2"/>
      <c r="G60" s="1527">
        <f t="shared" si="23"/>
        <v>-1</v>
      </c>
      <c r="H60" s="2">
        <v>0</v>
      </c>
      <c r="I60" s="1240"/>
      <c r="J60" s="66"/>
      <c r="K60" s="1527" t="str">
        <f t="shared" si="24"/>
        <v>0.00%</v>
      </c>
      <c r="L60" s="2">
        <v>0</v>
      </c>
      <c r="M60" s="1240"/>
      <c r="O60" s="1527" t="str">
        <f t="shared" si="25"/>
        <v>0.00%</v>
      </c>
      <c r="P60" s="2">
        <v>0</v>
      </c>
      <c r="Q60" s="1240"/>
      <c r="S60" s="83" t="str">
        <f t="shared" si="26"/>
        <v>0.00%</v>
      </c>
      <c r="T60" s="2">
        <v>0</v>
      </c>
      <c r="U60" s="81"/>
      <c r="W60" s="83" t="str">
        <f t="shared" si="27"/>
        <v>0.00%</v>
      </c>
      <c r="X60" s="2">
        <f t="shared" ref="X60:X65" si="29">ROUND(T60*(LEFT(Y60,5)+1),0)</f>
        <v>0</v>
      </c>
      <c r="Y60" s="81" t="str">
        <f>TEXT('MYP Assumptions'!I72,"0.00%")&amp;", CPI"</f>
        <v>2.73%, CPI</v>
      </c>
      <c r="AA60" s="83" t="str">
        <f t="shared" si="28"/>
        <v>0.00%</v>
      </c>
      <c r="AB60" s="2">
        <f t="shared" ref="AB60:AB65" si="30">ROUND(X60*(LEFT(AC60,5)+1),0)</f>
        <v>0</v>
      </c>
      <c r="AC60" s="81" t="str">
        <f>TEXT('MYP Assumptions'!J72,"0.00%")&amp;", CPI"</f>
        <v>2.73%, CPI</v>
      </c>
    </row>
    <row r="61" spans="1:29" hidden="1" x14ac:dyDescent="0.25">
      <c r="A61" s="153"/>
      <c r="B61" s="1326"/>
      <c r="D61" s="2">
        <v>0</v>
      </c>
      <c r="E61" s="1249"/>
      <c r="F61" s="2"/>
      <c r="G61" s="1527" t="str">
        <f t="shared" si="23"/>
        <v>0.00%</v>
      </c>
      <c r="H61" s="2">
        <f t="shared" ref="H61:H65" si="31">ROUND(D61*(LEFT(I61,5)+1),0)</f>
        <v>0</v>
      </c>
      <c r="I61" s="1240" t="str">
        <f>TEXT('MYP Assumptions'!E72,"0.00%")&amp;", CPI"</f>
        <v>3.11%, CPI</v>
      </c>
      <c r="J61" s="66"/>
      <c r="K61" s="1527" t="str">
        <f t="shared" si="24"/>
        <v>0.00%</v>
      </c>
      <c r="L61" s="2">
        <f t="shared" ref="L61:L65" si="32">ROUND(H61*(LEFT(M61,5)+1),0)</f>
        <v>0</v>
      </c>
      <c r="M61" s="1240" t="str">
        <f>TEXT('MYP Assumptions'!F72,"0.00%")&amp;", CPI"</f>
        <v>3.19%, CPI</v>
      </c>
      <c r="O61" s="1527" t="str">
        <f t="shared" si="25"/>
        <v>0.00%</v>
      </c>
      <c r="P61" s="2">
        <f t="shared" ref="P61:P65" si="33">ROUND(L61*(LEFT(Q61,5)+1),0)</f>
        <v>0</v>
      </c>
      <c r="Q61" s="1240" t="str">
        <f>TEXT('MYP Assumptions'!G72,"0.00%")&amp;", CPI"</f>
        <v>2.86%, CPI</v>
      </c>
      <c r="S61" s="83" t="str">
        <f t="shared" si="26"/>
        <v>0.00%</v>
      </c>
      <c r="T61" s="2">
        <f t="shared" ref="T61:T65" si="34">ROUND(P61*(LEFT(U61,5)+1),0)</f>
        <v>0</v>
      </c>
      <c r="U61" s="81" t="str">
        <f>TEXT('MYP Assumptions'!H72,"0.00%")&amp;", CPI"</f>
        <v>2.73%, CPI</v>
      </c>
      <c r="W61" s="83" t="str">
        <f t="shared" si="27"/>
        <v>0.00%</v>
      </c>
      <c r="X61" s="2">
        <f t="shared" si="29"/>
        <v>0</v>
      </c>
      <c r="Y61" s="81" t="str">
        <f>TEXT('MYP Assumptions'!I72,"0.00%")&amp;", CPI"</f>
        <v>2.73%, CPI</v>
      </c>
      <c r="AA61" s="83" t="str">
        <f t="shared" si="28"/>
        <v>0.00%</v>
      </c>
      <c r="AB61" s="2">
        <f t="shared" si="30"/>
        <v>0</v>
      </c>
      <c r="AC61" s="81" t="str">
        <f>TEXT('MYP Assumptions'!J72,"0.00%")&amp;", CPI"</f>
        <v>2.73%, CPI</v>
      </c>
    </row>
    <row r="62" spans="1:29" hidden="1" x14ac:dyDescent="0.25">
      <c r="A62" s="153"/>
      <c r="B62" s="1326"/>
      <c r="D62" s="2">
        <v>0</v>
      </c>
      <c r="E62" s="1249"/>
      <c r="F62" s="2"/>
      <c r="G62" s="1527" t="str">
        <f t="shared" si="23"/>
        <v>0.00%</v>
      </c>
      <c r="H62" s="2">
        <f t="shared" si="31"/>
        <v>0</v>
      </c>
      <c r="I62" s="1240" t="str">
        <f>TEXT('MYP Assumptions'!E72,"0.00%")&amp;", CPI"</f>
        <v>3.11%, CPI</v>
      </c>
      <c r="J62" s="66"/>
      <c r="K62" s="1527" t="str">
        <f t="shared" si="24"/>
        <v>0.00%</v>
      </c>
      <c r="L62" s="2">
        <f t="shared" si="32"/>
        <v>0</v>
      </c>
      <c r="M62" s="1240" t="str">
        <f>TEXT('MYP Assumptions'!F72,"0.00%")&amp;", CPI"</f>
        <v>3.19%, CPI</v>
      </c>
      <c r="O62" s="1527" t="str">
        <f t="shared" si="25"/>
        <v>0.00%</v>
      </c>
      <c r="P62" s="2">
        <f t="shared" si="33"/>
        <v>0</v>
      </c>
      <c r="Q62" s="1240" t="str">
        <f>TEXT('MYP Assumptions'!G72,"0.00%")&amp;", CPI"</f>
        <v>2.86%, CPI</v>
      </c>
      <c r="S62" s="83" t="str">
        <f t="shared" si="26"/>
        <v>0.00%</v>
      </c>
      <c r="T62" s="2">
        <f t="shared" si="34"/>
        <v>0</v>
      </c>
      <c r="U62" s="81" t="str">
        <f>TEXT('MYP Assumptions'!H72,"0.00%")&amp;", CPI"</f>
        <v>2.73%, CPI</v>
      </c>
      <c r="W62" s="83" t="str">
        <f t="shared" si="27"/>
        <v>0.00%</v>
      </c>
      <c r="X62" s="2">
        <f t="shared" si="29"/>
        <v>0</v>
      </c>
      <c r="Y62" s="81" t="str">
        <f>TEXT('MYP Assumptions'!I72,"0.00%")&amp;", CPI"</f>
        <v>2.73%, CPI</v>
      </c>
      <c r="AA62" s="83" t="str">
        <f t="shared" si="28"/>
        <v>0.00%</v>
      </c>
      <c r="AB62" s="2">
        <f t="shared" si="30"/>
        <v>0</v>
      </c>
      <c r="AC62" s="81" t="str">
        <f>TEXT('MYP Assumptions'!J72,"0.00%")&amp;", CPI"</f>
        <v>2.73%, CPI</v>
      </c>
    </row>
    <row r="63" spans="1:29" hidden="1" x14ac:dyDescent="0.25">
      <c r="A63" s="153"/>
      <c r="B63" s="1326"/>
      <c r="D63" s="2">
        <v>0</v>
      </c>
      <c r="E63" s="1249"/>
      <c r="F63" s="2"/>
      <c r="G63" s="1527" t="str">
        <f t="shared" si="23"/>
        <v>0.00%</v>
      </c>
      <c r="H63" s="2">
        <f t="shared" si="31"/>
        <v>0</v>
      </c>
      <c r="I63" s="1240" t="str">
        <f>TEXT('MYP Assumptions'!E72,"0.00%")&amp;", CPI"</f>
        <v>3.11%, CPI</v>
      </c>
      <c r="J63" s="66"/>
      <c r="K63" s="1527" t="str">
        <f t="shared" si="24"/>
        <v>0.00%</v>
      </c>
      <c r="L63" s="2">
        <f t="shared" si="32"/>
        <v>0</v>
      </c>
      <c r="M63" s="1240" t="str">
        <f>TEXT('MYP Assumptions'!F72,"0.00%")&amp;", CPI"</f>
        <v>3.19%, CPI</v>
      </c>
      <c r="O63" s="1527" t="str">
        <f t="shared" si="25"/>
        <v>0.00%</v>
      </c>
      <c r="P63" s="2">
        <f t="shared" si="33"/>
        <v>0</v>
      </c>
      <c r="Q63" s="1240" t="str">
        <f>TEXT('MYP Assumptions'!G72,"0.00%")&amp;", CPI"</f>
        <v>2.86%, CPI</v>
      </c>
      <c r="S63" s="83" t="str">
        <f t="shared" si="26"/>
        <v>0.00%</v>
      </c>
      <c r="T63" s="2">
        <f t="shared" si="34"/>
        <v>0</v>
      </c>
      <c r="U63" s="81" t="str">
        <f>TEXT('MYP Assumptions'!H72,"0.00%")&amp;", CPI"</f>
        <v>2.73%, CPI</v>
      </c>
      <c r="W63" s="83" t="str">
        <f t="shared" si="27"/>
        <v>0.00%</v>
      </c>
      <c r="X63" s="2">
        <f t="shared" si="29"/>
        <v>0</v>
      </c>
      <c r="Y63" s="81" t="str">
        <f>TEXT('MYP Assumptions'!I72,"0.00%")&amp;", CPI"</f>
        <v>2.73%, CPI</v>
      </c>
      <c r="AA63" s="83" t="str">
        <f t="shared" si="28"/>
        <v>0.00%</v>
      </c>
      <c r="AB63" s="2">
        <f t="shared" si="30"/>
        <v>0</v>
      </c>
      <c r="AC63" s="81" t="str">
        <f>TEXT('MYP Assumptions'!J72,"0.00%")&amp;", CPI"</f>
        <v>2.73%, CPI</v>
      </c>
    </row>
    <row r="64" spans="1:29" hidden="1" x14ac:dyDescent="0.25">
      <c r="A64" s="153"/>
      <c r="B64" s="1326"/>
      <c r="D64" s="2">
        <v>0</v>
      </c>
      <c r="E64" s="1249"/>
      <c r="F64" s="2"/>
      <c r="G64" s="1527" t="str">
        <f t="shared" si="23"/>
        <v>0.00%</v>
      </c>
      <c r="H64" s="2">
        <f t="shared" si="31"/>
        <v>0</v>
      </c>
      <c r="I64" s="1240" t="str">
        <f>TEXT('MYP Assumptions'!E72,"0.00%")&amp;", CPI"</f>
        <v>3.11%, CPI</v>
      </c>
      <c r="J64" s="66"/>
      <c r="K64" s="1527" t="str">
        <f t="shared" si="24"/>
        <v>0.00%</v>
      </c>
      <c r="L64" s="2">
        <f t="shared" si="32"/>
        <v>0</v>
      </c>
      <c r="M64" s="1240" t="str">
        <f>TEXT('MYP Assumptions'!F72,"0.00%")&amp;", CPI"</f>
        <v>3.19%, CPI</v>
      </c>
      <c r="O64" s="1527" t="str">
        <f t="shared" si="25"/>
        <v>0.00%</v>
      </c>
      <c r="P64" s="2">
        <f t="shared" si="33"/>
        <v>0</v>
      </c>
      <c r="Q64" s="1240" t="str">
        <f>TEXT('MYP Assumptions'!G72,"0.00%")&amp;", CPI"</f>
        <v>2.86%, CPI</v>
      </c>
      <c r="S64" s="83" t="str">
        <f t="shared" si="26"/>
        <v>0.00%</v>
      </c>
      <c r="T64" s="2">
        <f t="shared" si="34"/>
        <v>0</v>
      </c>
      <c r="U64" s="81" t="str">
        <f>TEXT('MYP Assumptions'!H72,"0.00%")&amp;", CPI"</f>
        <v>2.73%, CPI</v>
      </c>
      <c r="W64" s="83" t="str">
        <f t="shared" si="27"/>
        <v>0.00%</v>
      </c>
      <c r="X64" s="2">
        <f t="shared" si="29"/>
        <v>0</v>
      </c>
      <c r="Y64" s="81" t="str">
        <f>TEXT('MYP Assumptions'!I72,"0.00%")&amp;", CPI"</f>
        <v>2.73%, CPI</v>
      </c>
      <c r="AA64" s="83" t="str">
        <f t="shared" si="28"/>
        <v>0.00%</v>
      </c>
      <c r="AB64" s="2">
        <f t="shared" si="30"/>
        <v>0</v>
      </c>
      <c r="AC64" s="81" t="str">
        <f>TEXT('MYP Assumptions'!J72,"0.00%")&amp;", CPI"</f>
        <v>2.73%, CPI</v>
      </c>
    </row>
    <row r="65" spans="1:29" hidden="1" x14ac:dyDescent="0.25">
      <c r="A65" s="153"/>
      <c r="B65" s="1326"/>
      <c r="C65" s="1328"/>
      <c r="D65" s="2">
        <v>0</v>
      </c>
      <c r="E65" s="1249"/>
      <c r="F65" s="2"/>
      <c r="G65" s="1527" t="str">
        <f t="shared" si="23"/>
        <v>0.00%</v>
      </c>
      <c r="H65" s="2">
        <f t="shared" si="31"/>
        <v>0</v>
      </c>
      <c r="I65" s="1240" t="str">
        <f>TEXT('MYP Assumptions'!E72,"0.00%")&amp;", CPI"</f>
        <v>3.11%, CPI</v>
      </c>
      <c r="J65" s="66"/>
      <c r="K65" s="1527" t="str">
        <f t="shared" si="24"/>
        <v>0.00%</v>
      </c>
      <c r="L65" s="2">
        <f t="shared" si="32"/>
        <v>0</v>
      </c>
      <c r="M65" s="1240" t="str">
        <f>TEXT('MYP Assumptions'!F72,"0.00%")&amp;", CPI"</f>
        <v>3.19%, CPI</v>
      </c>
      <c r="O65" s="1527" t="str">
        <f t="shared" si="25"/>
        <v>0.00%</v>
      </c>
      <c r="P65" s="2">
        <f t="shared" si="33"/>
        <v>0</v>
      </c>
      <c r="Q65" s="1240" t="str">
        <f>TEXT('MYP Assumptions'!G72,"0.00%")&amp;", CPI"</f>
        <v>2.86%, CPI</v>
      </c>
      <c r="S65" s="83" t="str">
        <f t="shared" si="26"/>
        <v>0.00%</v>
      </c>
      <c r="T65" s="2">
        <f t="shared" si="34"/>
        <v>0</v>
      </c>
      <c r="U65" s="81" t="str">
        <f>TEXT('MYP Assumptions'!H72,"0.00%")&amp;", CPI"</f>
        <v>2.73%, CPI</v>
      </c>
      <c r="W65" s="83" t="str">
        <f t="shared" si="27"/>
        <v>0.00%</v>
      </c>
      <c r="X65" s="2">
        <f t="shared" si="29"/>
        <v>0</v>
      </c>
      <c r="Y65" s="81" t="str">
        <f>TEXT('MYP Assumptions'!I72,"0.00%")&amp;", CPI"</f>
        <v>2.73%, CPI</v>
      </c>
      <c r="AA65" s="83" t="str">
        <f t="shared" si="28"/>
        <v>0.00%</v>
      </c>
      <c r="AB65" s="2">
        <f t="shared" si="30"/>
        <v>0</v>
      </c>
      <c r="AC65" s="81" t="str">
        <f>TEXT('MYP Assumptions'!J72,"0.00%")&amp;", CPI"</f>
        <v>2.73%, CPI</v>
      </c>
    </row>
    <row r="66" spans="1:29" x14ac:dyDescent="0.25">
      <c r="A66" s="154"/>
      <c r="B66" s="1243"/>
      <c r="D66" s="8">
        <f>SUM(D59:D65)</f>
        <v>1933570.77</v>
      </c>
      <c r="E66" s="1249"/>
      <c r="F66" s="2"/>
      <c r="G66" s="1527">
        <f t="shared" si="23"/>
        <v>-7.483086331512967E-2</v>
      </c>
      <c r="H66" s="8">
        <f>SUM(H59:H65)</f>
        <v>1788880</v>
      </c>
      <c r="I66" s="1882">
        <f>+H66-D66</f>
        <v>-144690.77000000002</v>
      </c>
      <c r="J66" s="29"/>
      <c r="K66" s="1527">
        <f t="shared" si="24"/>
        <v>-1</v>
      </c>
      <c r="L66" s="8">
        <f>SUM(L59:L65)</f>
        <v>0</v>
      </c>
      <c r="M66" s="1882">
        <f>+L66-H66</f>
        <v>-1788880</v>
      </c>
      <c r="O66" s="1527" t="str">
        <f t="shared" si="25"/>
        <v>0.00%</v>
      </c>
      <c r="P66" s="8">
        <f>SUM(P59:P65)</f>
        <v>0</v>
      </c>
      <c r="Q66" s="1882">
        <f>+P66-L66</f>
        <v>0</v>
      </c>
      <c r="S66" s="83" t="str">
        <f t="shared" si="26"/>
        <v>0.00%</v>
      </c>
      <c r="T66" s="8">
        <f>SUM(T59:T65)</f>
        <v>0</v>
      </c>
      <c r="U66" s="73"/>
      <c r="W66" s="83" t="str">
        <f t="shared" si="27"/>
        <v>0.00%</v>
      </c>
      <c r="X66" s="8">
        <f>SUM(X59:X65)</f>
        <v>0</v>
      </c>
      <c r="Y66" s="73"/>
      <c r="AA66" s="83" t="str">
        <f t="shared" si="28"/>
        <v>0.00%</v>
      </c>
      <c r="AB66" s="8">
        <f>SUM(AB59:AB65)</f>
        <v>0</v>
      </c>
      <c r="AC66" s="73"/>
    </row>
    <row r="67" spans="1:29" x14ac:dyDescent="0.25">
      <c r="A67" s="153"/>
      <c r="E67" s="1249"/>
      <c r="F67" s="2"/>
      <c r="H67" s="2"/>
      <c r="I67" s="1257"/>
      <c r="J67" s="66"/>
      <c r="L67" s="2"/>
      <c r="M67" s="1335"/>
      <c r="Q67" s="1335"/>
      <c r="T67" s="2"/>
      <c r="U67" s="73"/>
      <c r="X67" s="2"/>
      <c r="Y67" s="73"/>
      <c r="AB67" s="2"/>
      <c r="AC67" s="73"/>
    </row>
    <row r="68" spans="1:29" s="4" customFormat="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x14ac:dyDescent="0.25">
      <c r="A69" s="153"/>
      <c r="B69" s="1326">
        <v>5813</v>
      </c>
      <c r="C69" s="1243" t="s">
        <v>6</v>
      </c>
      <c r="D69" s="2">
        <v>40000</v>
      </c>
      <c r="E69" s="1249"/>
      <c r="F69" s="2"/>
      <c r="G69" s="1527">
        <f t="shared" ref="G69:G74" si="35">IF(D69=0,"0.00%",(H69-D69)/D69)</f>
        <v>0</v>
      </c>
      <c r="H69" s="2">
        <f>+D69</f>
        <v>40000</v>
      </c>
      <c r="I69" s="1240" t="s">
        <v>174</v>
      </c>
      <c r="J69" s="66"/>
      <c r="K69" s="1527">
        <f t="shared" ref="K69:K82" si="36">IF(H69=0,"0.00%",(L69-H69)/H69)</f>
        <v>0</v>
      </c>
      <c r="L69" s="2">
        <f>+H69</f>
        <v>40000</v>
      </c>
      <c r="M69" s="1240" t="s">
        <v>174</v>
      </c>
      <c r="O69" s="1527">
        <f t="shared" ref="O69:O82" si="37">IF(L69=0,"0.00%",(P69-L69)/L69)</f>
        <v>0</v>
      </c>
      <c r="P69" s="2">
        <f>+L69</f>
        <v>40000</v>
      </c>
      <c r="Q69" s="1240" t="s">
        <v>174</v>
      </c>
      <c r="S69" s="83">
        <f t="shared" ref="S69:S82" si="38">IF(P69=0,"0.00%",(T69-P69)/P69)</f>
        <v>0</v>
      </c>
      <c r="T69" s="2">
        <f>+P69</f>
        <v>40000</v>
      </c>
      <c r="U69" s="81" t="s">
        <v>174</v>
      </c>
      <c r="W69" s="83">
        <f t="shared" ref="W69:W82" si="39">IF(T69=0,"0.00%",(X69-T69)/T69)</f>
        <v>2.7300000000000001E-2</v>
      </c>
      <c r="X69" s="2">
        <f>ROUND(T69*(LEFT(Y69,5)+1),0)</f>
        <v>41092</v>
      </c>
      <c r="Y69" s="81" t="str">
        <f>TEXT('MYP Assumptions'!I72,"0.00%")&amp;", CPI"</f>
        <v>2.73%, CPI</v>
      </c>
      <c r="AA69" s="83">
        <f t="shared" ref="AA69:AA82" si="40">IF(X69=0,"0.00%",(AB69-X69)/X69)</f>
        <v>2.7304584834030955E-2</v>
      </c>
      <c r="AB69" s="2">
        <f>ROUND(X69*(LEFT(AC69,5)+1),0)</f>
        <v>42214</v>
      </c>
      <c r="AC69" s="81" t="str">
        <f>TEXT('MYP Assumptions'!J72,"0.00%")&amp;", CPI"</f>
        <v>2.73%, CPI</v>
      </c>
    </row>
    <row r="70" spans="1:29" x14ac:dyDescent="0.25">
      <c r="A70" s="153"/>
      <c r="B70" s="1326">
        <v>5814</v>
      </c>
      <c r="C70" s="1243" t="s">
        <v>4</v>
      </c>
      <c r="D70" s="2">
        <v>3200</v>
      </c>
      <c r="E70" s="1249"/>
      <c r="F70" s="2"/>
      <c r="G70" s="1527">
        <f t="shared" si="35"/>
        <v>-0.21875</v>
      </c>
      <c r="H70" s="2">
        <v>2500</v>
      </c>
      <c r="I70" s="1240" t="s">
        <v>174</v>
      </c>
      <c r="J70" s="66"/>
      <c r="K70" s="1527">
        <f t="shared" si="36"/>
        <v>0</v>
      </c>
      <c r="L70" s="2">
        <f>+H70</f>
        <v>2500</v>
      </c>
      <c r="M70" s="1240" t="s">
        <v>174</v>
      </c>
      <c r="O70" s="1527">
        <f t="shared" si="37"/>
        <v>0</v>
      </c>
      <c r="P70" s="2">
        <f>+L70</f>
        <v>2500</v>
      </c>
      <c r="Q70" s="1240" t="s">
        <v>174</v>
      </c>
      <c r="S70" s="83">
        <f t="shared" si="38"/>
        <v>0</v>
      </c>
      <c r="T70" s="2">
        <f>+P70</f>
        <v>2500</v>
      </c>
      <c r="U70" s="81" t="s">
        <v>174</v>
      </c>
      <c r="W70" s="83">
        <f t="shared" si="39"/>
        <v>2.7199999999999998E-2</v>
      </c>
      <c r="X70" s="2">
        <f t="shared" ref="X70:X81" si="41">ROUND(T70*(LEFT(Y70,5)+1),0)</f>
        <v>2568</v>
      </c>
      <c r="Y70" s="81" t="str">
        <f>TEXT('MYP Assumptions'!I72,"0.00%")&amp;", CPI"</f>
        <v>2.73%, CPI</v>
      </c>
      <c r="AA70" s="83">
        <f t="shared" si="40"/>
        <v>2.7258566978193146E-2</v>
      </c>
      <c r="AB70" s="2">
        <f t="shared" ref="AB70:AB81" si="42">ROUND(X70*(LEFT(AC70,5)+1),0)</f>
        <v>2638</v>
      </c>
      <c r="AC70" s="81" t="str">
        <f>TEXT('MYP Assumptions'!J72,"0.00%")&amp;", CPI"</f>
        <v>2.73%, CPI</v>
      </c>
    </row>
    <row r="71" spans="1:29" hidden="1" x14ac:dyDescent="0.25">
      <c r="A71" s="153"/>
      <c r="B71" s="1326"/>
      <c r="D71" s="2">
        <v>0</v>
      </c>
      <c r="E71" s="1249"/>
      <c r="F71" s="2"/>
      <c r="G71" s="1527" t="str">
        <f t="shared" si="35"/>
        <v>0.00%</v>
      </c>
      <c r="H71" s="2">
        <f t="shared" ref="H71:H76" si="43">ROUND(D71*(LEFT(I71,5)+1),0)</f>
        <v>0</v>
      </c>
      <c r="I71" s="1240" t="str">
        <f>TEXT('MYP Assumptions'!E72,"0.00%")&amp;", CPI"</f>
        <v>3.11%, CPI</v>
      </c>
      <c r="J71" s="66"/>
      <c r="K71" s="1527" t="str">
        <f t="shared" si="36"/>
        <v>0.00%</v>
      </c>
      <c r="L71" s="2">
        <f t="shared" ref="L71:L81" si="44">ROUND(H71*(LEFT(M71,5)+1),0)</f>
        <v>0</v>
      </c>
      <c r="M71" s="1240" t="str">
        <f>TEXT('MYP Assumptions'!F72,"0.00%")&amp;", CPI"</f>
        <v>3.19%, CPI</v>
      </c>
      <c r="O71" s="1527" t="str">
        <f t="shared" si="37"/>
        <v>0.00%</v>
      </c>
      <c r="P71" s="2">
        <f t="shared" ref="P71:P81" si="45">ROUND(L71*(LEFT(Q71,5)+1),0)</f>
        <v>0</v>
      </c>
      <c r="Q71" s="1240" t="str">
        <f>TEXT('MYP Assumptions'!G72,"0.00%")&amp;", CPI"</f>
        <v>2.86%, CPI</v>
      </c>
      <c r="S71" s="83" t="str">
        <f t="shared" si="38"/>
        <v>0.00%</v>
      </c>
      <c r="T71" s="2">
        <f t="shared" ref="T71:T81" si="46">ROUND(P71*(LEFT(U71,5)+1),0)</f>
        <v>0</v>
      </c>
      <c r="U71" s="81" t="str">
        <f>TEXT('MYP Assumptions'!H72,"0.00%")&amp;", CPI"</f>
        <v>2.73%, CPI</v>
      </c>
      <c r="W71" s="83" t="str">
        <f t="shared" si="39"/>
        <v>0.00%</v>
      </c>
      <c r="X71" s="2">
        <f t="shared" si="41"/>
        <v>0</v>
      </c>
      <c r="Y71" s="81" t="str">
        <f>TEXT('MYP Assumptions'!I72,"0.00%")&amp;", CPI"</f>
        <v>2.73%, CPI</v>
      </c>
      <c r="AA71" s="83" t="str">
        <f t="shared" si="40"/>
        <v>0.00%</v>
      </c>
      <c r="AB71" s="2">
        <f t="shared" si="42"/>
        <v>0</v>
      </c>
      <c r="AC71" s="81" t="str">
        <f>TEXT('MYP Assumptions'!J72,"0.00%")&amp;", CPI"</f>
        <v>2.73%, CPI</v>
      </c>
    </row>
    <row r="72" spans="1:29" hidden="1" x14ac:dyDescent="0.25">
      <c r="A72" s="153"/>
      <c r="B72" s="1326"/>
      <c r="D72" s="2">
        <v>0</v>
      </c>
      <c r="E72" s="1249"/>
      <c r="F72" s="2"/>
      <c r="G72" s="1527" t="str">
        <f t="shared" si="35"/>
        <v>0.00%</v>
      </c>
      <c r="H72" s="2">
        <f t="shared" si="43"/>
        <v>0</v>
      </c>
      <c r="I72" s="1240" t="str">
        <f>TEXT('MYP Assumptions'!E72,"0.00%")&amp;", CPI"</f>
        <v>3.11%, CPI</v>
      </c>
      <c r="J72" s="66"/>
      <c r="K72" s="1527" t="str">
        <f t="shared" si="36"/>
        <v>0.00%</v>
      </c>
      <c r="L72" s="2">
        <f t="shared" si="44"/>
        <v>0</v>
      </c>
      <c r="M72" s="1240" t="str">
        <f>TEXT('MYP Assumptions'!F72,"0.00%")&amp;", CPI"</f>
        <v>3.19%, CPI</v>
      </c>
      <c r="O72" s="1527" t="str">
        <f t="shared" si="37"/>
        <v>0.00%</v>
      </c>
      <c r="P72" s="2">
        <f t="shared" si="45"/>
        <v>0</v>
      </c>
      <c r="Q72" s="1240" t="str">
        <f>TEXT('MYP Assumptions'!G72,"0.00%")&amp;", CPI"</f>
        <v>2.86%, CPI</v>
      </c>
      <c r="S72" s="83" t="str">
        <f t="shared" si="38"/>
        <v>0.00%</v>
      </c>
      <c r="T72" s="2">
        <f t="shared" si="46"/>
        <v>0</v>
      </c>
      <c r="U72" s="81" t="str">
        <f>TEXT('MYP Assumptions'!H72,"0.00%")&amp;", CPI"</f>
        <v>2.73%, CPI</v>
      </c>
      <c r="W72" s="83" t="str">
        <f t="shared" si="39"/>
        <v>0.00%</v>
      </c>
      <c r="X72" s="2">
        <f t="shared" si="41"/>
        <v>0</v>
      </c>
      <c r="Y72" s="81" t="str">
        <f>TEXT('MYP Assumptions'!I72,"0.00%")&amp;", CPI"</f>
        <v>2.73%, CPI</v>
      </c>
      <c r="AA72" s="83" t="str">
        <f t="shared" si="40"/>
        <v>0.00%</v>
      </c>
      <c r="AB72" s="2">
        <f t="shared" si="42"/>
        <v>0</v>
      </c>
      <c r="AC72" s="81" t="str">
        <f>TEXT('MYP Assumptions'!J72,"0.00%")&amp;", CPI"</f>
        <v>2.73%, CPI</v>
      </c>
    </row>
    <row r="73" spans="1:29" hidden="1" x14ac:dyDescent="0.25">
      <c r="A73" s="153"/>
      <c r="B73" s="1326"/>
      <c r="D73" s="2">
        <v>0</v>
      </c>
      <c r="E73" s="1249"/>
      <c r="F73" s="2"/>
      <c r="G73" s="1527" t="str">
        <f t="shared" si="35"/>
        <v>0.00%</v>
      </c>
      <c r="H73" s="2">
        <f t="shared" si="43"/>
        <v>0</v>
      </c>
      <c r="I73" s="1240" t="str">
        <f>TEXT('MYP Assumptions'!E72,"0.00%")&amp;", CPI"</f>
        <v>3.11%, CPI</v>
      </c>
      <c r="J73" s="66"/>
      <c r="K73" s="1527" t="str">
        <f t="shared" si="36"/>
        <v>0.00%</v>
      </c>
      <c r="L73" s="2">
        <f t="shared" si="44"/>
        <v>0</v>
      </c>
      <c r="M73" s="1240" t="str">
        <f>TEXT('MYP Assumptions'!F72,"0.00%")&amp;", CPI"</f>
        <v>3.19%, CPI</v>
      </c>
      <c r="O73" s="1527" t="str">
        <f t="shared" si="37"/>
        <v>0.00%</v>
      </c>
      <c r="P73" s="2">
        <f t="shared" si="45"/>
        <v>0</v>
      </c>
      <c r="Q73" s="1240" t="str">
        <f>TEXT('MYP Assumptions'!G72,"0.00%")&amp;", CPI"</f>
        <v>2.86%, CPI</v>
      </c>
      <c r="S73" s="83" t="str">
        <f t="shared" si="38"/>
        <v>0.00%</v>
      </c>
      <c r="T73" s="2">
        <f t="shared" si="46"/>
        <v>0</v>
      </c>
      <c r="U73" s="81" t="str">
        <f>TEXT('MYP Assumptions'!H72,"0.00%")&amp;", CPI"</f>
        <v>2.73%, CPI</v>
      </c>
      <c r="W73" s="83" t="str">
        <f t="shared" si="39"/>
        <v>0.00%</v>
      </c>
      <c r="X73" s="2">
        <f t="shared" si="41"/>
        <v>0</v>
      </c>
      <c r="Y73" s="81" t="str">
        <f>TEXT('MYP Assumptions'!I72,"0.00%")&amp;", CPI"</f>
        <v>2.73%, CPI</v>
      </c>
      <c r="AA73" s="83" t="str">
        <f t="shared" si="40"/>
        <v>0.00%</v>
      </c>
      <c r="AB73" s="2">
        <f t="shared" si="42"/>
        <v>0</v>
      </c>
      <c r="AC73" s="81" t="str">
        <f>TEXT('MYP Assumptions'!J72,"0.00%")&amp;", CPI"</f>
        <v>2.73%, CPI</v>
      </c>
    </row>
    <row r="74" spans="1:29" hidden="1" x14ac:dyDescent="0.25">
      <c r="A74" s="153"/>
      <c r="B74" s="1326"/>
      <c r="D74" s="2">
        <v>0</v>
      </c>
      <c r="E74" s="1249"/>
      <c r="F74" s="2"/>
      <c r="G74" s="1527" t="str">
        <f t="shared" si="35"/>
        <v>0.00%</v>
      </c>
      <c r="H74" s="2">
        <f t="shared" si="43"/>
        <v>0</v>
      </c>
      <c r="I74" s="1240" t="str">
        <f>TEXT('MYP Assumptions'!E72,"0.00%")&amp;", CPI"</f>
        <v>3.11%, CPI</v>
      </c>
      <c r="J74" s="66"/>
      <c r="K74" s="1527" t="str">
        <f t="shared" si="36"/>
        <v>0.00%</v>
      </c>
      <c r="L74" s="2">
        <f t="shared" si="44"/>
        <v>0</v>
      </c>
      <c r="M74" s="1240" t="str">
        <f>TEXT('MYP Assumptions'!F72,"0.00%")&amp;", CPI"</f>
        <v>3.19%, CPI</v>
      </c>
      <c r="O74" s="1527" t="str">
        <f t="shared" si="37"/>
        <v>0.00%</v>
      </c>
      <c r="P74" s="2">
        <f t="shared" si="45"/>
        <v>0</v>
      </c>
      <c r="Q74" s="1240" t="str">
        <f>TEXT('MYP Assumptions'!G72,"0.00%")&amp;", CPI"</f>
        <v>2.86%, CPI</v>
      </c>
      <c r="S74" s="83" t="str">
        <f t="shared" si="38"/>
        <v>0.00%</v>
      </c>
      <c r="T74" s="2">
        <f t="shared" si="46"/>
        <v>0</v>
      </c>
      <c r="U74" s="81" t="str">
        <f>TEXT('MYP Assumptions'!H72,"0.00%")&amp;", CPI"</f>
        <v>2.73%, CPI</v>
      </c>
      <c r="W74" s="83" t="str">
        <f t="shared" si="39"/>
        <v>0.00%</v>
      </c>
      <c r="X74" s="2">
        <f t="shared" si="41"/>
        <v>0</v>
      </c>
      <c r="Y74" s="81" t="str">
        <f>TEXT('MYP Assumptions'!I72,"0.00%")&amp;", CPI"</f>
        <v>2.73%, CPI</v>
      </c>
      <c r="AA74" s="83" t="str">
        <f t="shared" si="40"/>
        <v>0.00%</v>
      </c>
      <c r="AB74" s="2">
        <f t="shared" si="42"/>
        <v>0</v>
      </c>
      <c r="AC74" s="81" t="str">
        <f>TEXT('MYP Assumptions'!J72,"0.00%")&amp;", CPI"</f>
        <v>2.73%, CPI</v>
      </c>
    </row>
    <row r="75" spans="1:29" hidden="1" x14ac:dyDescent="0.25">
      <c r="A75" s="153"/>
      <c r="B75" s="1326"/>
      <c r="D75" s="2">
        <v>0</v>
      </c>
      <c r="E75" s="1249"/>
      <c r="F75" s="2"/>
      <c r="G75" s="1527" t="str">
        <f>IF(D75=0,"0.00%",(H75-D75)/D75)</f>
        <v>0.00%</v>
      </c>
      <c r="H75" s="2">
        <f t="shared" si="43"/>
        <v>0</v>
      </c>
      <c r="I75" s="1240" t="str">
        <f>TEXT('MYP Assumptions'!E72,"0.00%")&amp;", CPI"</f>
        <v>3.11%, CPI</v>
      </c>
      <c r="J75" s="66"/>
      <c r="K75" s="1527" t="str">
        <f t="shared" si="36"/>
        <v>0.00%</v>
      </c>
      <c r="L75" s="2">
        <f t="shared" si="44"/>
        <v>0</v>
      </c>
      <c r="M75" s="1240" t="str">
        <f>TEXT('MYP Assumptions'!F72,"0.00%")&amp;", CPI"</f>
        <v>3.19%, CPI</v>
      </c>
      <c r="O75" s="1527" t="str">
        <f t="shared" si="37"/>
        <v>0.00%</v>
      </c>
      <c r="P75" s="2">
        <f t="shared" si="45"/>
        <v>0</v>
      </c>
      <c r="Q75" s="1240" t="str">
        <f>TEXT('MYP Assumptions'!G72,"0.00%")&amp;", CPI"</f>
        <v>2.86%, CPI</v>
      </c>
      <c r="S75" s="83" t="str">
        <f t="shared" si="38"/>
        <v>0.00%</v>
      </c>
      <c r="T75" s="2">
        <f t="shared" si="46"/>
        <v>0</v>
      </c>
      <c r="U75" s="81" t="str">
        <f>TEXT('MYP Assumptions'!H72,"0.00%")&amp;", CPI"</f>
        <v>2.73%, CPI</v>
      </c>
      <c r="W75" s="83" t="str">
        <f t="shared" si="39"/>
        <v>0.00%</v>
      </c>
      <c r="X75" s="2">
        <f t="shared" si="41"/>
        <v>0</v>
      </c>
      <c r="Y75" s="81" t="str">
        <f>TEXT('MYP Assumptions'!I72,"0.00%")&amp;", CPI"</f>
        <v>2.73%, CPI</v>
      </c>
      <c r="AA75" s="83" t="str">
        <f t="shared" si="40"/>
        <v>0.00%</v>
      </c>
      <c r="AB75" s="2">
        <f t="shared" si="42"/>
        <v>0</v>
      </c>
      <c r="AC75" s="81" t="str">
        <f>TEXT('MYP Assumptions'!J72,"0.00%")&amp;", CPI"</f>
        <v>2.73%, CPI</v>
      </c>
    </row>
    <row r="76" spans="1:29" hidden="1" x14ac:dyDescent="0.25">
      <c r="A76" s="153"/>
      <c r="B76" s="1326"/>
      <c r="D76" s="2">
        <v>0</v>
      </c>
      <c r="E76" s="1249"/>
      <c r="F76" s="2"/>
      <c r="G76" s="1527" t="str">
        <f t="shared" ref="G76:G82" si="47">IF(D76=0,"0.00%",(H76-D76)/D76)</f>
        <v>0.00%</v>
      </c>
      <c r="H76" s="2">
        <f t="shared" si="43"/>
        <v>0</v>
      </c>
      <c r="I76" s="1240" t="str">
        <f>TEXT('MYP Assumptions'!E72,"0.00%")&amp;", CPI"</f>
        <v>3.11%, CPI</v>
      </c>
      <c r="J76" s="66"/>
      <c r="K76" s="1527" t="str">
        <f t="shared" si="36"/>
        <v>0.00%</v>
      </c>
      <c r="L76" s="2">
        <f t="shared" si="44"/>
        <v>0</v>
      </c>
      <c r="M76" s="1240" t="str">
        <f>TEXT('MYP Assumptions'!F72,"0.00%")&amp;", CPI"</f>
        <v>3.19%, CPI</v>
      </c>
      <c r="O76" s="1527" t="str">
        <f t="shared" si="37"/>
        <v>0.00%</v>
      </c>
      <c r="P76" s="2">
        <f t="shared" si="45"/>
        <v>0</v>
      </c>
      <c r="Q76" s="1240" t="str">
        <f>TEXT('MYP Assumptions'!G72,"0.00%")&amp;", CPI"</f>
        <v>2.86%, CPI</v>
      </c>
      <c r="S76" s="83" t="str">
        <f t="shared" si="38"/>
        <v>0.00%</v>
      </c>
      <c r="T76" s="2">
        <f t="shared" si="46"/>
        <v>0</v>
      </c>
      <c r="U76" s="81" t="str">
        <f>TEXT('MYP Assumptions'!H72,"0.00%")&amp;", CPI"</f>
        <v>2.73%, CPI</v>
      </c>
      <c r="W76" s="83" t="str">
        <f t="shared" si="39"/>
        <v>0.00%</v>
      </c>
      <c r="X76" s="2">
        <f t="shared" si="41"/>
        <v>0</v>
      </c>
      <c r="Y76" s="81" t="str">
        <f>TEXT('MYP Assumptions'!I72,"0.00%")&amp;", CPI"</f>
        <v>2.73%, CPI</v>
      </c>
      <c r="AA76" s="83" t="str">
        <f t="shared" si="40"/>
        <v>0.00%</v>
      </c>
      <c r="AB76" s="2">
        <f t="shared" si="42"/>
        <v>0</v>
      </c>
      <c r="AC76" s="81" t="str">
        <f>TEXT('MYP Assumptions'!J72,"0.00%")&amp;", CPI"</f>
        <v>2.73%, CPI</v>
      </c>
    </row>
    <row r="77" spans="1:29" hidden="1" x14ac:dyDescent="0.25">
      <c r="A77" s="153"/>
      <c r="B77" s="1326"/>
      <c r="D77" s="2">
        <v>0</v>
      </c>
      <c r="E77" s="1249"/>
      <c r="F77" s="2"/>
      <c r="G77" s="1527" t="str">
        <f t="shared" si="47"/>
        <v>0.00%</v>
      </c>
      <c r="H77" s="2">
        <f>ROUND(D77*(LEFT(I77,5)+1),0)</f>
        <v>0</v>
      </c>
      <c r="I77" s="1240" t="str">
        <f>TEXT('MYP Assumptions'!E72,"0.00%")&amp;", CPI"</f>
        <v>3.11%, CPI</v>
      </c>
      <c r="J77" s="66"/>
      <c r="K77" s="1527" t="str">
        <f t="shared" si="36"/>
        <v>0.00%</v>
      </c>
      <c r="L77" s="2">
        <f t="shared" si="44"/>
        <v>0</v>
      </c>
      <c r="M77" s="1240" t="str">
        <f>TEXT('MYP Assumptions'!F72,"0.00%")&amp;", CPI"</f>
        <v>3.19%, CPI</v>
      </c>
      <c r="O77" s="1527" t="str">
        <f t="shared" si="37"/>
        <v>0.00%</v>
      </c>
      <c r="P77" s="2">
        <f t="shared" si="45"/>
        <v>0</v>
      </c>
      <c r="Q77" s="1240" t="str">
        <f>TEXT('MYP Assumptions'!G72,"0.00%")&amp;", CPI"</f>
        <v>2.86%, CPI</v>
      </c>
      <c r="S77" s="83" t="str">
        <f t="shared" si="38"/>
        <v>0.00%</v>
      </c>
      <c r="T77" s="2">
        <f t="shared" si="46"/>
        <v>0</v>
      </c>
      <c r="U77" s="81" t="str">
        <f>TEXT('MYP Assumptions'!H72,"0.00%")&amp;", CPI"</f>
        <v>2.73%, CPI</v>
      </c>
      <c r="W77" s="83" t="str">
        <f t="shared" si="39"/>
        <v>0.00%</v>
      </c>
      <c r="X77" s="2">
        <f t="shared" si="41"/>
        <v>0</v>
      </c>
      <c r="Y77" s="81" t="str">
        <f>TEXT('MYP Assumptions'!I72,"0.00%")&amp;", CPI"</f>
        <v>2.73%, CPI</v>
      </c>
      <c r="AA77" s="83" t="str">
        <f t="shared" si="40"/>
        <v>0.00%</v>
      </c>
      <c r="AB77" s="2">
        <f t="shared" si="42"/>
        <v>0</v>
      </c>
      <c r="AC77" s="81" t="str">
        <f>TEXT('MYP Assumptions'!J72,"0.00%")&amp;", CPI"</f>
        <v>2.73%, CPI</v>
      </c>
    </row>
    <row r="78" spans="1:29" hidden="1" x14ac:dyDescent="0.25">
      <c r="A78" s="153"/>
      <c r="B78" s="1326"/>
      <c r="D78" s="2">
        <v>0</v>
      </c>
      <c r="E78" s="1249"/>
      <c r="F78" s="2"/>
      <c r="G78" s="1527" t="str">
        <f t="shared" si="47"/>
        <v>0.00%</v>
      </c>
      <c r="H78" s="2">
        <f>ROUND(D78*(LEFT(I78,5)+1),0)</f>
        <v>0</v>
      </c>
      <c r="I78" s="1240" t="str">
        <f>TEXT('MYP Assumptions'!E72,"0.00%")&amp;", CPI"</f>
        <v>3.11%, CPI</v>
      </c>
      <c r="J78" s="66"/>
      <c r="K78" s="1527" t="str">
        <f t="shared" si="36"/>
        <v>0.00%</v>
      </c>
      <c r="L78" s="2">
        <f t="shared" si="44"/>
        <v>0</v>
      </c>
      <c r="M78" s="1240" t="str">
        <f>TEXT('MYP Assumptions'!F72,"0.00%")&amp;", CPI"</f>
        <v>3.19%, CPI</v>
      </c>
      <c r="O78" s="1527" t="str">
        <f t="shared" si="37"/>
        <v>0.00%</v>
      </c>
      <c r="P78" s="2">
        <f t="shared" si="45"/>
        <v>0</v>
      </c>
      <c r="Q78" s="1240" t="str">
        <f>TEXT('MYP Assumptions'!G72,"0.00%")&amp;", CPI"</f>
        <v>2.86%, CPI</v>
      </c>
      <c r="S78" s="83" t="str">
        <f t="shared" si="38"/>
        <v>0.00%</v>
      </c>
      <c r="T78" s="2">
        <f t="shared" si="46"/>
        <v>0</v>
      </c>
      <c r="U78" s="81" t="str">
        <f>TEXT('MYP Assumptions'!H72,"0.00%")&amp;", CPI"</f>
        <v>2.73%, CPI</v>
      </c>
      <c r="W78" s="83" t="str">
        <f t="shared" si="39"/>
        <v>0.00%</v>
      </c>
      <c r="X78" s="2">
        <f t="shared" si="41"/>
        <v>0</v>
      </c>
      <c r="Y78" s="81" t="str">
        <f>TEXT('MYP Assumptions'!I72,"0.00%")&amp;", CPI"</f>
        <v>2.73%, CPI</v>
      </c>
      <c r="AA78" s="83" t="str">
        <f t="shared" si="40"/>
        <v>0.00%</v>
      </c>
      <c r="AB78" s="2">
        <f t="shared" si="42"/>
        <v>0</v>
      </c>
      <c r="AC78" s="81" t="str">
        <f>TEXT('MYP Assumptions'!J72,"0.00%")&amp;", CPI"</f>
        <v>2.73%, CPI</v>
      </c>
    </row>
    <row r="79" spans="1:29" hidden="1" x14ac:dyDescent="0.25">
      <c r="A79" s="153"/>
      <c r="B79" s="1326"/>
      <c r="D79" s="2">
        <v>0</v>
      </c>
      <c r="E79" s="1249"/>
      <c r="F79" s="2"/>
      <c r="G79" s="1527" t="str">
        <f t="shared" si="47"/>
        <v>0.00%</v>
      </c>
      <c r="H79" s="2">
        <f>ROUND(D79*(LEFT(I79,5)+1),0)</f>
        <v>0</v>
      </c>
      <c r="I79" s="1240" t="str">
        <f>TEXT('MYP Assumptions'!E72,"0.00%")&amp;", CPI"</f>
        <v>3.11%, CPI</v>
      </c>
      <c r="J79" s="66"/>
      <c r="K79" s="1527" t="str">
        <f t="shared" si="36"/>
        <v>0.00%</v>
      </c>
      <c r="L79" s="2">
        <f t="shared" si="44"/>
        <v>0</v>
      </c>
      <c r="M79" s="1240" t="str">
        <f>TEXT('MYP Assumptions'!F72,"0.00%")&amp;", CPI"</f>
        <v>3.19%, CPI</v>
      </c>
      <c r="O79" s="1527" t="str">
        <f t="shared" si="37"/>
        <v>0.00%</v>
      </c>
      <c r="P79" s="2">
        <f t="shared" si="45"/>
        <v>0</v>
      </c>
      <c r="Q79" s="1240" t="str">
        <f>TEXT('MYP Assumptions'!G72,"0.00%")&amp;", CPI"</f>
        <v>2.86%, CPI</v>
      </c>
      <c r="S79" s="83" t="str">
        <f t="shared" si="38"/>
        <v>0.00%</v>
      </c>
      <c r="T79" s="2">
        <f t="shared" si="46"/>
        <v>0</v>
      </c>
      <c r="U79" s="81" t="str">
        <f>TEXT('MYP Assumptions'!H72,"0.00%")&amp;", CPI"</f>
        <v>2.73%, CPI</v>
      </c>
      <c r="W79" s="83" t="str">
        <f t="shared" si="39"/>
        <v>0.00%</v>
      </c>
      <c r="X79" s="2">
        <f t="shared" si="41"/>
        <v>0</v>
      </c>
      <c r="Y79" s="81" t="str">
        <f>TEXT('MYP Assumptions'!I72,"0.00%")&amp;", CPI"</f>
        <v>2.73%, CPI</v>
      </c>
      <c r="AA79" s="83" t="str">
        <f t="shared" si="40"/>
        <v>0.00%</v>
      </c>
      <c r="AB79" s="2">
        <f t="shared" si="42"/>
        <v>0</v>
      </c>
      <c r="AC79" s="81" t="str">
        <f>TEXT('MYP Assumptions'!J72,"0.00%")&amp;", CPI"</f>
        <v>2.73%, CPI</v>
      </c>
    </row>
    <row r="80" spans="1:29" hidden="1" x14ac:dyDescent="0.25">
      <c r="A80" s="153"/>
      <c r="B80" s="1326"/>
      <c r="D80" s="2">
        <v>0</v>
      </c>
      <c r="E80" s="1249"/>
      <c r="F80" s="2"/>
      <c r="G80" s="1527" t="str">
        <f t="shared" si="47"/>
        <v>0.00%</v>
      </c>
      <c r="H80" s="2">
        <f>ROUND(D80*(LEFT(I80,5)+1),0)</f>
        <v>0</v>
      </c>
      <c r="I80" s="1240" t="str">
        <f>TEXT('MYP Assumptions'!E72,"0.00%")&amp;", CPI"</f>
        <v>3.11%, CPI</v>
      </c>
      <c r="J80" s="66"/>
      <c r="K80" s="1527" t="str">
        <f t="shared" si="36"/>
        <v>0.00%</v>
      </c>
      <c r="L80" s="2">
        <f t="shared" si="44"/>
        <v>0</v>
      </c>
      <c r="M80" s="1240" t="str">
        <f>TEXT('MYP Assumptions'!F72,"0.00%")&amp;", CPI"</f>
        <v>3.19%, CPI</v>
      </c>
      <c r="O80" s="1527" t="str">
        <f t="shared" si="37"/>
        <v>0.00%</v>
      </c>
      <c r="P80" s="2">
        <f t="shared" si="45"/>
        <v>0</v>
      </c>
      <c r="Q80" s="1240" t="str">
        <f>TEXT('MYP Assumptions'!G72,"0.00%")&amp;", CPI"</f>
        <v>2.86%, CPI</v>
      </c>
      <c r="S80" s="83" t="str">
        <f t="shared" si="38"/>
        <v>0.00%</v>
      </c>
      <c r="T80" s="2">
        <f t="shared" si="46"/>
        <v>0</v>
      </c>
      <c r="U80" s="81" t="str">
        <f>TEXT('MYP Assumptions'!H72,"0.00%")&amp;", CPI"</f>
        <v>2.73%, CPI</v>
      </c>
      <c r="W80" s="83" t="str">
        <f t="shared" si="39"/>
        <v>0.00%</v>
      </c>
      <c r="X80" s="2">
        <f t="shared" si="41"/>
        <v>0</v>
      </c>
      <c r="Y80" s="81" t="str">
        <f>TEXT('MYP Assumptions'!I72,"0.00%")&amp;", CPI"</f>
        <v>2.73%, CPI</v>
      </c>
      <c r="AA80" s="83" t="str">
        <f t="shared" si="40"/>
        <v>0.00%</v>
      </c>
      <c r="AB80" s="2">
        <f t="shared" si="42"/>
        <v>0</v>
      </c>
      <c r="AC80" s="81" t="str">
        <f>TEXT('MYP Assumptions'!J72,"0.00%")&amp;", CPI"</f>
        <v>2.73%, CPI</v>
      </c>
    </row>
    <row r="81" spans="1:29" hidden="1" x14ac:dyDescent="0.25">
      <c r="A81" s="153"/>
      <c r="B81" s="1326"/>
      <c r="D81" s="2">
        <f>'RS 3010-ALL'!AF80</f>
        <v>0</v>
      </c>
      <c r="E81" s="1249"/>
      <c r="F81" s="2"/>
      <c r="G81" s="1527" t="str">
        <f t="shared" si="47"/>
        <v>0.00%</v>
      </c>
      <c r="H81" s="2">
        <f>ROUND(D81*(LEFT(I81,5)+1),0)</f>
        <v>0</v>
      </c>
      <c r="I81" s="1240" t="str">
        <f>TEXT('MYP Assumptions'!E72,"0.00%")&amp;", CPI"</f>
        <v>3.11%, CPI</v>
      </c>
      <c r="J81" s="66"/>
      <c r="K81" s="1527" t="str">
        <f t="shared" si="36"/>
        <v>0.00%</v>
      </c>
      <c r="L81" s="2">
        <f t="shared" si="44"/>
        <v>0</v>
      </c>
      <c r="M81" s="1240" t="str">
        <f>TEXT('MYP Assumptions'!F72,"0.00%")&amp;", CPI"</f>
        <v>3.19%, CPI</v>
      </c>
      <c r="O81" s="1527" t="str">
        <f t="shared" si="37"/>
        <v>0.00%</v>
      </c>
      <c r="P81" s="2">
        <f t="shared" si="45"/>
        <v>0</v>
      </c>
      <c r="Q81" s="1240" t="str">
        <f>TEXT('MYP Assumptions'!G72,"0.00%")&amp;", CPI"</f>
        <v>2.86%, CPI</v>
      </c>
      <c r="S81" s="83" t="str">
        <f t="shared" si="38"/>
        <v>0.00%</v>
      </c>
      <c r="T81" s="2">
        <f t="shared" si="46"/>
        <v>0</v>
      </c>
      <c r="U81" s="81" t="str">
        <f>TEXT('MYP Assumptions'!H72,"0.00%")&amp;", CPI"</f>
        <v>2.73%, CPI</v>
      </c>
      <c r="W81" s="83" t="str">
        <f t="shared" si="39"/>
        <v>0.00%</v>
      </c>
      <c r="X81" s="2">
        <f t="shared" si="41"/>
        <v>0</v>
      </c>
      <c r="Y81" s="81" t="str">
        <f>TEXT('MYP Assumptions'!I72,"0.00%")&amp;", CPI"</f>
        <v>2.73%, CPI</v>
      </c>
      <c r="AA81" s="83" t="str">
        <f t="shared" si="40"/>
        <v>0.00%</v>
      </c>
      <c r="AB81" s="2">
        <f t="shared" si="42"/>
        <v>0</v>
      </c>
      <c r="AC81" s="81" t="str">
        <f>TEXT('MYP Assumptions'!J72,"0.00%")&amp;", CPI"</f>
        <v>2.73%, CPI</v>
      </c>
    </row>
    <row r="82" spans="1:29" x14ac:dyDescent="0.25">
      <c r="A82" s="154"/>
      <c r="D82" s="8">
        <f>SUM(D69:D81)</f>
        <v>43200</v>
      </c>
      <c r="E82" s="1249"/>
      <c r="F82" s="2"/>
      <c r="G82" s="1527">
        <f t="shared" si="47"/>
        <v>-1.6203703703703703E-2</v>
      </c>
      <c r="H82" s="8">
        <f>SUM(H69:H81)</f>
        <v>42500</v>
      </c>
      <c r="I82" s="1882">
        <f>+H82-D82</f>
        <v>-700</v>
      </c>
      <c r="J82" s="29"/>
      <c r="K82" s="1527">
        <f t="shared" si="36"/>
        <v>0</v>
      </c>
      <c r="L82" s="8">
        <f>SUM(L69:L81)</f>
        <v>42500</v>
      </c>
      <c r="M82" s="1882">
        <f>+L82-H82</f>
        <v>0</v>
      </c>
      <c r="O82" s="1527">
        <f t="shared" si="37"/>
        <v>0</v>
      </c>
      <c r="P82" s="8">
        <f>SUM(P69:P81)</f>
        <v>42500</v>
      </c>
      <c r="Q82" s="1882">
        <f>+P82-L82</f>
        <v>0</v>
      </c>
      <c r="S82" s="83">
        <f t="shared" si="38"/>
        <v>0</v>
      </c>
      <c r="T82" s="8">
        <f>SUM(T69:T81)</f>
        <v>42500</v>
      </c>
      <c r="U82" s="73"/>
      <c r="W82" s="83">
        <f t="shared" si="39"/>
        <v>2.7294117647058823E-2</v>
      </c>
      <c r="X82" s="8">
        <f>SUM(X69:X81)</f>
        <v>43660</v>
      </c>
      <c r="Y82" s="73"/>
      <c r="AA82" s="83">
        <f t="shared" si="40"/>
        <v>2.7301878149335778E-2</v>
      </c>
      <c r="AB82" s="8">
        <f>SUM(AB69:AB81)</f>
        <v>44852</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1976770.77</v>
      </c>
      <c r="E85" s="1249"/>
      <c r="F85" s="2"/>
      <c r="G85" s="1527">
        <f>IF(D85=0,"0.00%",(H85-D85)/D85)</f>
        <v>-7.3549635702069807E-2</v>
      </c>
      <c r="H85" s="8">
        <f>SUM(H82,H66,H55,H13)</f>
        <v>1831380</v>
      </c>
      <c r="I85" s="1258"/>
      <c r="J85" s="29"/>
      <c r="K85" s="1527">
        <f>IF(H85=0,"0.00%",(L85-H85)/H85)</f>
        <v>-0.97679345630071313</v>
      </c>
      <c r="L85" s="8">
        <f>SUM(L82,L66,L55,L13)</f>
        <v>42500</v>
      </c>
      <c r="M85" s="1335"/>
      <c r="O85" s="1527">
        <f>IF(L85=0,"0.00%",(P85-L85)/L85)</f>
        <v>0</v>
      </c>
      <c r="P85" s="8">
        <f>SUM(P82,P66,P55,P13)</f>
        <v>42500</v>
      </c>
      <c r="Q85" s="1335"/>
      <c r="S85" s="83">
        <f>IF(P85=0,"0.00%",(T85-P85)/P85)</f>
        <v>0</v>
      </c>
      <c r="T85" s="8">
        <f>SUM(T82,T66,T55,T13)</f>
        <v>42500</v>
      </c>
      <c r="U85" s="73"/>
      <c r="W85" s="83">
        <f>IF(T85=0,"0.00%",(X85-T85)/T85)</f>
        <v>2.7294117647058823E-2</v>
      </c>
      <c r="X85" s="8">
        <f>SUM(X82,X66,X55,X13)</f>
        <v>43660</v>
      </c>
      <c r="Y85" s="73"/>
      <c r="AA85" s="83">
        <f>IF(X85=0,"0.00%",(AB85-X85)/X85)</f>
        <v>2.7301878149335778E-2</v>
      </c>
      <c r="AB85" s="8">
        <f>SUM(AB82,AB66,AB55,AB13)</f>
        <v>44852</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-719770.77</v>
      </c>
      <c r="G87" s="1527">
        <f>IF(D87=0,"0.00%",(H87-D87)/D87)</f>
        <v>0.12119029229264197</v>
      </c>
      <c r="H87" s="3">
        <f>H11-H85</f>
        <v>-807000</v>
      </c>
      <c r="I87" s="1257"/>
      <c r="J87" s="66"/>
      <c r="K87" s="1527">
        <f>IF(H87=0,"0.00%",(L87-H87)/H87)</f>
        <v>-1.5049566294919454</v>
      </c>
      <c r="L87" s="3">
        <f>L11-L85</f>
        <v>407500</v>
      </c>
      <c r="M87" s="1335"/>
      <c r="O87" s="1527">
        <f>IF(L87=0,"0.00%",(P87-L87)/L87)</f>
        <v>0</v>
      </c>
      <c r="P87" s="3">
        <f>P11-P85</f>
        <v>407500</v>
      </c>
      <c r="Q87" s="1335"/>
      <c r="S87" s="83">
        <f>IF(P87=0,"0.00%",(T87-P87)/P87)</f>
        <v>0</v>
      </c>
      <c r="T87" s="3">
        <f>T11-T85</f>
        <v>407500</v>
      </c>
      <c r="U87" s="73"/>
      <c r="W87" s="83">
        <f>IF(T87=0,"0.00%",(X87-T87)/T87)</f>
        <v>-1.1071411042944785</v>
      </c>
      <c r="X87" s="3">
        <f>X11-X85</f>
        <v>-43660</v>
      </c>
      <c r="Y87" s="73"/>
      <c r="AA87" s="83">
        <f>IF(X87=0,"0.00%",(AB87-X87)/X87)</f>
        <v>2.7301878149335778E-2</v>
      </c>
      <c r="AB87" s="3">
        <f>AB11-AB85</f>
        <v>-44852</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807000</v>
      </c>
      <c r="G89" s="1527">
        <f>IF(D89=0,"0.00%",(H89-D89)/D89)</f>
        <v>-1</v>
      </c>
      <c r="H89" s="3">
        <f>H7+H87</f>
        <v>0</v>
      </c>
      <c r="I89" s="1882">
        <f>+H89-D89</f>
        <v>-807000</v>
      </c>
      <c r="J89" s="66"/>
      <c r="K89" s="1527" t="str">
        <f>IF(H89=0,"0.00%",(L89-H89)/H89)</f>
        <v>0.00%</v>
      </c>
      <c r="L89" s="3">
        <f>L7+L87</f>
        <v>407500</v>
      </c>
      <c r="M89" s="1882">
        <f>+L89-H89</f>
        <v>407500</v>
      </c>
      <c r="O89" s="1527">
        <f>IF(L89=0,"0.00%",(P89-L89)/L89)</f>
        <v>1</v>
      </c>
      <c r="P89" s="3">
        <f>P7+P87</f>
        <v>815000</v>
      </c>
      <c r="Q89" s="1882">
        <f>+P89-L89</f>
        <v>407500</v>
      </c>
      <c r="S89" s="83">
        <f>IF(P89=0,"0.00%",(T89-P89)/P89)</f>
        <v>0.5</v>
      </c>
      <c r="T89" s="49">
        <f>T7+T87</f>
        <v>1222500</v>
      </c>
      <c r="U89" s="73"/>
      <c r="W89" s="83">
        <f>IF(T89=0,"0.00%",(X89-T89)/T89)</f>
        <v>-3.5713701431492842E-2</v>
      </c>
      <c r="X89" s="49">
        <f>X7+X87</f>
        <v>1178840</v>
      </c>
      <c r="Y89" s="73"/>
      <c r="AA89" s="83">
        <f>IF(X89=0,"0.00%",(AB89-X89)/X89)</f>
        <v>-3.8047572189610128E-2</v>
      </c>
      <c r="AB89" s="49">
        <f>AB7+AB87</f>
        <v>1133988</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57"/>
      <c r="B95" s="1329"/>
      <c r="C95" s="1330" t="s">
        <v>226</v>
      </c>
      <c r="D95" s="135">
        <f>+D82+D66+D53+D41+D30</f>
        <v>1976770.77</v>
      </c>
      <c r="E95" s="1251"/>
      <c r="G95" s="1541" t="s">
        <v>226</v>
      </c>
      <c r="H95" s="135">
        <f>+H82+H66+H53+H41+H30</f>
        <v>1831380</v>
      </c>
      <c r="I95" s="1260"/>
      <c r="J95" s="136"/>
      <c r="K95" s="1541" t="s">
        <v>226</v>
      </c>
      <c r="L95" s="135">
        <f>+L82+L66+L53+L41+L30</f>
        <v>42500</v>
      </c>
      <c r="M95" s="1338"/>
      <c r="O95" s="1541" t="s">
        <v>226</v>
      </c>
      <c r="P95" s="135">
        <f>+P82+P66+P53+P41+P30</f>
        <v>42500</v>
      </c>
      <c r="Q95" s="1338"/>
      <c r="R95" s="140"/>
      <c r="S95" s="134" t="s">
        <v>226</v>
      </c>
      <c r="T95" s="135">
        <f>+T82+T66+T53+T41+T30</f>
        <v>42500</v>
      </c>
      <c r="U95" s="139"/>
      <c r="W95" s="134" t="s">
        <v>226</v>
      </c>
      <c r="X95" s="135">
        <f>+X82+X66+X53+X41+X30</f>
        <v>43660</v>
      </c>
      <c r="Y95" s="139"/>
      <c r="AA95" s="134" t="s">
        <v>226</v>
      </c>
      <c r="AB95" s="135">
        <f>+AB82+AB66+AB53+AB41+AB30</f>
        <v>44852</v>
      </c>
      <c r="AC95" s="139"/>
    </row>
    <row r="96" spans="1:29" s="138" customFormat="1" ht="11.25" x14ac:dyDescent="0.2">
      <c r="A96" s="159"/>
      <c r="B96" s="1329"/>
      <c r="C96" s="1331" t="s">
        <v>227</v>
      </c>
      <c r="D96" s="143">
        <f>+D13</f>
        <v>0</v>
      </c>
      <c r="E96" s="1252"/>
      <c r="F96" s="145"/>
      <c r="G96" s="1546" t="s">
        <v>227</v>
      </c>
      <c r="H96" s="143">
        <f>+H13</f>
        <v>0</v>
      </c>
      <c r="I96" s="1261"/>
      <c r="J96" s="144"/>
      <c r="K96" s="1546" t="s">
        <v>227</v>
      </c>
      <c r="L96" s="143">
        <f>+L13</f>
        <v>0</v>
      </c>
      <c r="M96" s="1338"/>
      <c r="O96" s="1546" t="s">
        <v>227</v>
      </c>
      <c r="P96" s="143">
        <f>+P13</f>
        <v>0</v>
      </c>
      <c r="Q96" s="1251"/>
      <c r="R96" s="140"/>
      <c r="S96" s="142" t="s">
        <v>227</v>
      </c>
      <c r="T96" s="143">
        <f>+T13</f>
        <v>0</v>
      </c>
      <c r="W96" s="142" t="s">
        <v>227</v>
      </c>
      <c r="X96" s="143">
        <f>+X13</f>
        <v>0</v>
      </c>
      <c r="AA96" s="142" t="s">
        <v>227</v>
      </c>
      <c r="AB96" s="143">
        <f>+AB13</f>
        <v>0</v>
      </c>
    </row>
    <row r="97" spans="1:28" s="138" customFormat="1" ht="11.25" x14ac:dyDescent="0.2">
      <c r="A97" s="159"/>
      <c r="B97" s="1329"/>
      <c r="C97" s="1331"/>
      <c r="D97" s="146">
        <f>+D95+D96</f>
        <v>1976770.77</v>
      </c>
      <c r="E97" s="1252"/>
      <c r="F97" s="145"/>
      <c r="G97" s="1546"/>
      <c r="H97" s="146">
        <f>+H95+H96</f>
        <v>1831380</v>
      </c>
      <c r="I97" s="1261"/>
      <c r="J97" s="144"/>
      <c r="K97" s="1546"/>
      <c r="L97" s="146">
        <f>+L95+L96</f>
        <v>42500</v>
      </c>
      <c r="M97" s="1251"/>
      <c r="O97" s="1546"/>
      <c r="P97" s="146">
        <f>+P95+P96</f>
        <v>42500</v>
      </c>
      <c r="Q97" s="1251"/>
      <c r="R97" s="140"/>
      <c r="S97" s="142"/>
      <c r="T97" s="146">
        <f>+T95+T96</f>
        <v>42500</v>
      </c>
      <c r="W97" s="142"/>
      <c r="X97" s="146">
        <f>+X95+X96</f>
        <v>43660</v>
      </c>
      <c r="AA97" s="142"/>
      <c r="AB97" s="146">
        <f>+AB95+AB96</f>
        <v>44852</v>
      </c>
    </row>
    <row r="98" spans="1:28" ht="15"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C122"/>
  <sheetViews>
    <sheetView zoomScaleNormal="100" workbookViewId="0">
      <pane xSplit="3" ySplit="6" topLeftCell="E7"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customWidth="1"/>
    <col min="6" max="6" width="6" style="39" customWidth="1"/>
    <col min="7" max="7" width="9.42578125" style="1399" bestFit="1" customWidth="1"/>
    <col min="8" max="8" width="16.42578125" style="123" customWidth="1"/>
    <col min="9" max="9" width="26" style="1254" customWidth="1"/>
    <col min="10" max="10" width="5.7109375" style="59" customWidth="1"/>
    <col min="11" max="11" width="9.42578125" style="1550"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285</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6300</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1626106.08</v>
      </c>
      <c r="E7" s="1315"/>
      <c r="H7" s="2">
        <f>D85</f>
        <v>1317045.08</v>
      </c>
      <c r="I7" s="1315"/>
      <c r="J7" s="60"/>
      <c r="L7" s="2">
        <f>H85</f>
        <v>51076.080000000075</v>
      </c>
      <c r="M7" s="1315"/>
      <c r="P7" s="2">
        <f>L85</f>
        <v>0</v>
      </c>
      <c r="Q7" s="1315"/>
      <c r="T7" s="2">
        <f>P85</f>
        <v>0</v>
      </c>
      <c r="U7" s="105"/>
      <c r="X7" s="2" t="e">
        <f>T85</f>
        <v>#VALUE!</v>
      </c>
      <c r="Y7" s="105"/>
      <c r="AB7" s="2" t="e">
        <f>X85</f>
        <v>#VALUE!</v>
      </c>
      <c r="AC7" s="105"/>
    </row>
    <row r="8" spans="1:29" x14ac:dyDescent="0.25">
      <c r="E8" s="1315"/>
      <c r="H8" s="2"/>
      <c r="I8" s="1315"/>
      <c r="L8" s="2"/>
      <c r="M8" s="1315"/>
      <c r="Q8" s="1315"/>
      <c r="U8" s="105"/>
      <c r="Y8" s="105"/>
      <c r="AC8" s="105"/>
    </row>
    <row r="9" spans="1:29" x14ac:dyDescent="0.25">
      <c r="B9" s="1317" t="s">
        <v>52</v>
      </c>
      <c r="C9" s="1243" t="s">
        <v>53</v>
      </c>
      <c r="D9" s="2">
        <v>345197</v>
      </c>
      <c r="E9" s="1315"/>
      <c r="G9" s="1527">
        <f>IF(D9=0,"0.00%",(H9-D9)/D9)</f>
        <v>1.1674493115525337E-2</v>
      </c>
      <c r="H9" s="2">
        <f>ROUNDDOWN(45*7760.61,0)</f>
        <v>349227</v>
      </c>
      <c r="I9" s="1315" t="s">
        <v>816</v>
      </c>
      <c r="J9" s="61"/>
      <c r="K9" s="1527">
        <f>IF(H9=0,"0.00%",(L9-H9)/H9)</f>
        <v>2.1498910450795616E-2</v>
      </c>
      <c r="L9" s="2">
        <f>ROUND(H9*(+LEFT(M9,5)+1),0)</f>
        <v>356735</v>
      </c>
      <c r="M9" s="1240" t="str">
        <f>TEXT('MYP Assumptions'!$F$44,"0.00%")&amp;", COLA"</f>
        <v>2.15%, COLA</v>
      </c>
      <c r="O9" s="1527">
        <f>IF(L9=0,"0.00%",(P9-L9)/L9)</f>
        <v>2.3499236127657787E-2</v>
      </c>
      <c r="P9" s="2">
        <f>ROUND(L9*(+LEFT(Q9,5)+1),0)</f>
        <v>365118</v>
      </c>
      <c r="Q9" s="1240" t="str">
        <f>TEXT('MYP Assumptions'!$G$44,"0.00%")&amp;", COLA"</f>
        <v>2.35%, COLA</v>
      </c>
      <c r="S9" s="83">
        <f>IF(P9=0,"0.00%",(T9-P9)/P9)</f>
        <v>2.6599619848925553E-2</v>
      </c>
      <c r="T9" s="2">
        <f>ROUND(P9*(+LEFT(U9,5)+1),0)</f>
        <v>374830</v>
      </c>
      <c r="U9" s="105" t="s">
        <v>289</v>
      </c>
      <c r="W9" s="83">
        <f>IF(T9=0,"0.00%",(X9-T9)/T9)</f>
        <v>2.6598724755222368E-2</v>
      </c>
      <c r="X9" s="2">
        <f>ROUND(T9*(+LEFT(Y9,5)+1),0)</f>
        <v>384800</v>
      </c>
      <c r="Y9" s="105" t="s">
        <v>289</v>
      </c>
      <c r="AA9" s="83">
        <f>IF(X9=0,"0.00%",(AB9-X9)/X9)</f>
        <v>2.6600831600831602E-2</v>
      </c>
      <c r="AB9" s="2">
        <f>ROUND(X9*(+LEFT(AC9,5)+1),0)</f>
        <v>395036</v>
      </c>
      <c r="AC9" s="105" t="s">
        <v>289</v>
      </c>
    </row>
    <row r="10" spans="1:29" x14ac:dyDescent="0.25">
      <c r="C10" s="1243" t="s">
        <v>51</v>
      </c>
      <c r="D10" s="2">
        <v>0</v>
      </c>
      <c r="E10" s="1315"/>
      <c r="G10" s="1527" t="str">
        <f t="shared" ref="G10:G15" si="0">IF(D10=0,"0.00%",(H10-D10)/D10)</f>
        <v>0.00%</v>
      </c>
      <c r="H10" s="3">
        <v>0</v>
      </c>
      <c r="J10" s="61"/>
      <c r="K10" s="1527">
        <v>2.3999216991289027E-2</v>
      </c>
      <c r="L10" s="3">
        <v>0</v>
      </c>
      <c r="O10" s="1527">
        <v>2.5299543966745892E-2</v>
      </c>
      <c r="P10" s="3">
        <v>0</v>
      </c>
      <c r="S10" s="83"/>
      <c r="T10" s="3">
        <v>0</v>
      </c>
      <c r="W10" s="83"/>
      <c r="X10" s="3">
        <v>0</v>
      </c>
      <c r="AA10" s="83"/>
      <c r="AB10" s="3">
        <v>0</v>
      </c>
    </row>
    <row r="11" spans="1:29" x14ac:dyDescent="0.25">
      <c r="B11" s="1323" t="s">
        <v>137</v>
      </c>
      <c r="D11" s="8">
        <f>SUM(D9:D10)</f>
        <v>345197</v>
      </c>
      <c r="E11" s="1315"/>
      <c r="G11" s="1527">
        <f t="shared" si="0"/>
        <v>1.1674493115525337E-2</v>
      </c>
      <c r="H11" s="8">
        <f>SUM(H9:H10)</f>
        <v>349227</v>
      </c>
      <c r="I11" s="1882">
        <f>+H11-D11</f>
        <v>4030</v>
      </c>
      <c r="J11" s="62"/>
      <c r="K11" s="1527">
        <f>IF(H11=0,"0.00%",(L11-H11)/H11)</f>
        <v>2.1498910450795616E-2</v>
      </c>
      <c r="L11" s="8">
        <f>SUM(L9:L10)</f>
        <v>356735</v>
      </c>
      <c r="M11" s="1882">
        <f>+L11-H11</f>
        <v>7508</v>
      </c>
      <c r="O11" s="1527">
        <f>IF(L11=0,"0.00%",(P11-L11)/L11)</f>
        <v>2.3499236127657787E-2</v>
      </c>
      <c r="P11" s="8">
        <f>SUM(P9:P10)</f>
        <v>365118</v>
      </c>
      <c r="Q11" s="1882">
        <f>+P11-L11</f>
        <v>8383</v>
      </c>
      <c r="S11" s="83">
        <f>IF(P11=0,"0.00%",(T11-P11)/P11)</f>
        <v>2.6599619848925553E-2</v>
      </c>
      <c r="T11" s="78">
        <f>SUM(T9:T10)</f>
        <v>374830</v>
      </c>
      <c r="U11" s="105"/>
      <c r="W11" s="83">
        <f>IF(T11=0,"0.00%",(X11-T11)/T11)</f>
        <v>2.6598724755222368E-2</v>
      </c>
      <c r="X11" s="78">
        <f>SUM(X9:X10)</f>
        <v>384800</v>
      </c>
      <c r="Y11" s="105"/>
      <c r="AA11" s="83">
        <f>IF(X11=0,"0.00%",(AB11-X11)/X11)</f>
        <v>2.6600831600831602E-2</v>
      </c>
      <c r="AB11" s="78">
        <f>SUM(AB9:AB10)</f>
        <v>395036</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ROUND(D11-(D11/(1+B13)),0)</f>
        <v>0</v>
      </c>
      <c r="E13" s="1315"/>
      <c r="G13" s="1527" t="str">
        <f t="shared" si="0"/>
        <v>0.00%</v>
      </c>
      <c r="H13" s="9">
        <f>ROUND(H11-(H11/(1+B13)),0)</f>
        <v>0</v>
      </c>
      <c r="I13" s="1315"/>
      <c r="J13" s="64"/>
      <c r="K13" s="1527" t="str">
        <f>IF(H13=0,"0.00%",(L13-H13)/H13)</f>
        <v>0.00%</v>
      </c>
      <c r="L13" s="9">
        <f>ROUND(L11-(L11/(1+B13)),0)</f>
        <v>0</v>
      </c>
      <c r="M13" s="1315"/>
      <c r="O13" s="1527" t="str">
        <f>IF(L13=0,"0.00%",(P13-L13)/L13)</f>
        <v>0.00%</v>
      </c>
      <c r="P13" s="9">
        <f>ROUND(P11-(P11/(1+B13)),0)</f>
        <v>0</v>
      </c>
      <c r="Q13" s="131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345197</v>
      </c>
      <c r="E15" s="1315"/>
      <c r="G15" s="1527">
        <f t="shared" si="0"/>
        <v>1.1674493115525337E-2</v>
      </c>
      <c r="H15" s="9">
        <f>H11-H13</f>
        <v>349227</v>
      </c>
      <c r="I15" s="1315"/>
      <c r="J15" s="62"/>
      <c r="K15" s="1527">
        <f>IF(H15=0,"0.00%",(L15-H15)/H15)</f>
        <v>2.1498910450795616E-2</v>
      </c>
      <c r="L15" s="9">
        <f>L11-L13</f>
        <v>356735</v>
      </c>
      <c r="M15" s="1315"/>
      <c r="O15" s="1527">
        <f>IF(L15=0,"0.00%",(P15-L15)/L15)</f>
        <v>2.3499236127657787E-2</v>
      </c>
      <c r="P15" s="9">
        <f>P11-P13</f>
        <v>365118</v>
      </c>
      <c r="Q15" s="1315"/>
      <c r="S15" s="83">
        <f>IF(P15=0,"0.00%",(T15-P15)/P15)</f>
        <v>2.6599619848925553E-2</v>
      </c>
      <c r="T15" s="19">
        <f>T11-T13</f>
        <v>374830</v>
      </c>
      <c r="U15" s="105"/>
      <c r="W15" s="83">
        <f>IF(T15=0,"0.00%",(X15-T15)/T15)</f>
        <v>2.6598724755222368E-2</v>
      </c>
      <c r="X15" s="19">
        <f>X11-X13</f>
        <v>384800</v>
      </c>
      <c r="Y15" s="105"/>
      <c r="AA15" s="83">
        <f>IF(X15=0,"0.00%",(AB15-X15)/X15)</f>
        <v>2.6600831600831602E-2</v>
      </c>
      <c r="AB15" s="19">
        <f>AB11-AB13</f>
        <v>395036</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256"/>
      <c r="P19" s="14" t="s">
        <v>48</v>
      </c>
      <c r="Q19" s="1256"/>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t="str">
        <f t="shared" ref="I21:I28" si="3">TEXT($I$19,"0.0%")&amp;" = Est. S &amp; C"</f>
        <v>0.0% = Est. S &amp; C</v>
      </c>
      <c r="J21" s="66"/>
      <c r="K21" s="1527" t="str">
        <f t="shared" ref="K21:K27" si="4">IF(H21=0,"0.00%",(L21-H21)/H21)</f>
        <v>0.00%</v>
      </c>
      <c r="L21" s="2">
        <f>ROUND(H21*(1+M19),0)</f>
        <v>0</v>
      </c>
      <c r="M21" s="1257" t="str">
        <f>TEXT(M19,"0.0%")&amp;" = Est. S &amp; C"</f>
        <v>0.0% = Est. S &amp; C</v>
      </c>
      <c r="O21" s="1527" t="str">
        <f t="shared" ref="O21:O27" si="5">IF(L21=0,"0.00%",(P21-L21)/L21)</f>
        <v>0.00%</v>
      </c>
      <c r="P21" s="2">
        <f>ROUND(L21*(1+Q19),0)</f>
        <v>0</v>
      </c>
      <c r="Q21" s="1257" t="str">
        <f>TEXT(Q19,"0.0%")&amp;" = Est. S &amp; C"</f>
        <v>0.0%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0.0% = Est. S &amp; C</v>
      </c>
      <c r="J22" s="66"/>
      <c r="K22" s="1527" t="str">
        <f t="shared" si="4"/>
        <v>0.00%</v>
      </c>
      <c r="L22" s="2">
        <f>ROUND(H22*(1+M19),0)</f>
        <v>0</v>
      </c>
      <c r="M22" s="1257" t="str">
        <f>TEXT(M19,"0.0%")&amp;" = Est. S &amp; C"</f>
        <v>0.0% = Est. S &amp; C</v>
      </c>
      <c r="O22" s="1527" t="str">
        <f t="shared" si="5"/>
        <v>0.00%</v>
      </c>
      <c r="P22" s="2">
        <f>ROUND(L22*(1+Q19),0)</f>
        <v>0</v>
      </c>
      <c r="Q22" s="1257" t="str">
        <f>TEXT(Q19,"0.0%")&amp;" = Est. S &amp; C"</f>
        <v>0.0%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0.0% = Est. S &amp; C</v>
      </c>
      <c r="J23" s="66"/>
      <c r="K23" s="1527" t="str">
        <f t="shared" si="4"/>
        <v>0.00%</v>
      </c>
      <c r="L23" s="2">
        <f>ROUND(H23*(1+M19),0)</f>
        <v>0</v>
      </c>
      <c r="M23" s="1257" t="str">
        <f>TEXT(M19,"0.0%")&amp;" = Est. S &amp; C"</f>
        <v>0.0% = Est. S &amp; C</v>
      </c>
      <c r="O23" s="1527" t="str">
        <f t="shared" si="5"/>
        <v>0.00%</v>
      </c>
      <c r="P23" s="2">
        <f>ROUND(L23*(1+Q19),0)</f>
        <v>0</v>
      </c>
      <c r="Q23" s="1257" t="str">
        <f>TEXT(Q19,"0.0%")&amp;" = Est. S &amp; C"</f>
        <v>0.0%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0.0% = Est. S &amp; C</v>
      </c>
      <c r="J24" s="66"/>
      <c r="K24" s="1527" t="str">
        <f t="shared" si="4"/>
        <v>0.00%</v>
      </c>
      <c r="L24" s="2">
        <f>ROUND(H24*(1+M19),0)</f>
        <v>0</v>
      </c>
      <c r="M24" s="1257" t="str">
        <f>TEXT(M19,"0.0%")&amp;" = Est. S &amp; C"</f>
        <v>0.0% = Est. S &amp; C</v>
      </c>
      <c r="O24" s="1527" t="str">
        <f t="shared" si="5"/>
        <v>0.00%</v>
      </c>
      <c r="P24" s="2">
        <f>ROUND(L24*(1+Q19),0)</f>
        <v>0</v>
      </c>
      <c r="Q24" s="1257" t="str">
        <f>TEXT(Q19,"0.0%")&amp;" = Est. S &amp; C"</f>
        <v>0.0%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t="str">
        <f t="shared" si="3"/>
        <v>0.0% = Est. S &amp; C</v>
      </c>
      <c r="J25" s="66"/>
      <c r="K25" s="1527" t="str">
        <f t="shared" si="4"/>
        <v>0.00%</v>
      </c>
      <c r="L25" s="2">
        <f>ROUND(H25*(1+M19),0)</f>
        <v>0</v>
      </c>
      <c r="M25" s="1257" t="str">
        <f>TEXT(M19,"0.0%")&amp;" = Est. S &amp; C"</f>
        <v>0.0% = Est. S &amp; C</v>
      </c>
      <c r="O25" s="1527" t="str">
        <f t="shared" si="5"/>
        <v>0.00%</v>
      </c>
      <c r="P25" s="2">
        <f>ROUND(L25*(1+Q19),0)</f>
        <v>0</v>
      </c>
      <c r="Q25" s="1257" t="str">
        <f>TEXT(Q19,"0.0%")&amp;" = Est. S &amp; C"</f>
        <v>0.0%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0.0% = Est. S &amp; C</v>
      </c>
      <c r="J26" s="66"/>
      <c r="K26" s="1527" t="str">
        <f t="shared" si="4"/>
        <v>0.00%</v>
      </c>
      <c r="L26" s="2">
        <f>ROUND(H26*(1+M19),0)</f>
        <v>0</v>
      </c>
      <c r="M26" s="1257" t="str">
        <f>TEXT(M19,"0.0%")&amp;" = Est. S &amp; C"</f>
        <v>0.0% = Est. S &amp; C</v>
      </c>
      <c r="O26" s="1527" t="str">
        <f t="shared" si="5"/>
        <v>0.00%</v>
      </c>
      <c r="P26" s="2">
        <f>ROUND(L26*(1+Q19),0)</f>
        <v>0</v>
      </c>
      <c r="Q26" s="1257" t="str">
        <f>TEXT(Q19,"0.0%")&amp;" = Est. S &amp; C"</f>
        <v>0.0%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0.0% = Est. S &amp; C</v>
      </c>
      <c r="J27" s="66"/>
      <c r="K27" s="1527" t="str">
        <f t="shared" si="4"/>
        <v>0.00%</v>
      </c>
      <c r="L27" s="2">
        <f>ROUND(H27*(1+M19),0)</f>
        <v>0</v>
      </c>
      <c r="M27" s="1257" t="str">
        <f>TEXT(M19,"0.0%")&amp;" = Est. S &amp; C"</f>
        <v>0.0% = Est. S &amp; C</v>
      </c>
      <c r="O27" s="1527" t="str">
        <f t="shared" si="5"/>
        <v>0.00%</v>
      </c>
      <c r="P27" s="2">
        <f>ROUND(L27*(1+Q19),0)</f>
        <v>0</v>
      </c>
      <c r="Q27" s="1257" t="str">
        <f>TEXT(Q19,"0.0%")&amp;" = Est. S &amp; C"</f>
        <v>0.0%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0.0%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hidden="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c r="D33" s="2">
        <v>0</v>
      </c>
      <c r="E33" s="1249"/>
      <c r="F33" s="2"/>
      <c r="G33" s="1527" t="str">
        <f t="shared" ref="G33:G39" si="9">IF(D33=0,"0.00%",(H33-D33)/D33)</f>
        <v>0.00%</v>
      </c>
      <c r="H33" s="2">
        <f t="shared" ref="H33:H39" si="10">ROUND(D33*(1+$I$19),0)</f>
        <v>0</v>
      </c>
      <c r="I33" s="1257" t="str">
        <f t="shared" ref="I33:I39" si="11">TEXT($I$19,"0.0%")&amp;" = Est. S &amp; C"</f>
        <v>0.0% = Est. S &amp; C</v>
      </c>
      <c r="J33" s="66"/>
      <c r="K33" s="1527" t="str">
        <f t="shared" ref="K33:K39" si="12">IF(H33=0,"0.00%",(L33-H33)/H33)</f>
        <v>0.00%</v>
      </c>
      <c r="L33" s="2">
        <f>ROUND(H33*(1+M19),0)</f>
        <v>0</v>
      </c>
      <c r="M33" s="1257" t="str">
        <f>TEXT(M19,"0.0%")&amp;" = Est. S &amp; C"</f>
        <v>0.0% = Est. S &amp; C</v>
      </c>
      <c r="O33" s="1527" t="str">
        <f t="shared" ref="O33:O39" si="13">IF(L33=0,"0.00%",(P33-L33)/L33)</f>
        <v>0.00%</v>
      </c>
      <c r="P33" s="2">
        <f>ROUND(L33*(1+Q19),0)</f>
        <v>0</v>
      </c>
      <c r="Q33" s="1257" t="str">
        <f>TEXT(Q19,"0.0%")&amp;" = Est. S &amp; C"</f>
        <v>0.0%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D34" s="2">
        <v>0</v>
      </c>
      <c r="E34" s="1249"/>
      <c r="F34" s="2"/>
      <c r="G34" s="1527" t="str">
        <f t="shared" si="9"/>
        <v>0.00%</v>
      </c>
      <c r="H34" s="2">
        <f t="shared" si="10"/>
        <v>0</v>
      </c>
      <c r="I34" s="1257" t="str">
        <f t="shared" si="11"/>
        <v>0.0% = Est. S &amp; C</v>
      </c>
      <c r="J34" s="66"/>
      <c r="K34" s="1527" t="str">
        <f t="shared" si="12"/>
        <v>0.00%</v>
      </c>
      <c r="L34" s="2">
        <f>ROUND(H34*(1+M19),0)</f>
        <v>0</v>
      </c>
      <c r="M34" s="1257" t="str">
        <f>TEXT(M19,"0.0%")&amp;" = Est. S &amp; C"</f>
        <v>0.0% = Est. S &amp; C</v>
      </c>
      <c r="O34" s="1527" t="str">
        <f t="shared" si="13"/>
        <v>0.00%</v>
      </c>
      <c r="P34" s="2">
        <f>ROUND(L34*(1+Q19),0)</f>
        <v>0</v>
      </c>
      <c r="Q34" s="1257" t="str">
        <f>TEXT(Q19,"0.0%")&amp;" = Est. S &amp; C"</f>
        <v>0.0%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D35" s="2">
        <v>0</v>
      </c>
      <c r="E35" s="1249"/>
      <c r="F35" s="2"/>
      <c r="G35" s="1527" t="str">
        <f t="shared" si="9"/>
        <v>0.00%</v>
      </c>
      <c r="H35" s="2">
        <f t="shared" si="10"/>
        <v>0</v>
      </c>
      <c r="I35" s="1257" t="str">
        <f t="shared" si="11"/>
        <v>0.0% = Est. S &amp; C</v>
      </c>
      <c r="J35" s="66"/>
      <c r="K35" s="1527" t="str">
        <f t="shared" si="12"/>
        <v>0.00%</v>
      </c>
      <c r="L35" s="2">
        <f>ROUND(H35*(1+M19),0)</f>
        <v>0</v>
      </c>
      <c r="M35" s="1257" t="str">
        <f>TEXT(M19,"0.0%")&amp;" = Est. S &amp; C"</f>
        <v>0.0% = Est. S &amp; C</v>
      </c>
      <c r="O35" s="1527" t="str">
        <f t="shared" si="13"/>
        <v>0.00%</v>
      </c>
      <c r="P35" s="2">
        <f>ROUND(L35*(1+Q19),0)</f>
        <v>0</v>
      </c>
      <c r="Q35" s="1257" t="str">
        <f>TEXT(Q19,"0.0%")&amp;" = Est. S &amp; C"</f>
        <v>0.0%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D36" s="2">
        <v>0</v>
      </c>
      <c r="E36" s="1249"/>
      <c r="F36" s="2"/>
      <c r="G36" s="1527" t="str">
        <f t="shared" si="9"/>
        <v>0.00%</v>
      </c>
      <c r="H36" s="2">
        <f t="shared" si="10"/>
        <v>0</v>
      </c>
      <c r="I36" s="1257" t="str">
        <f t="shared" si="11"/>
        <v>0.0% = Est. S &amp; C</v>
      </c>
      <c r="J36" s="66"/>
      <c r="K36" s="1527" t="str">
        <f t="shared" si="12"/>
        <v>0.00%</v>
      </c>
      <c r="L36" s="2">
        <f>ROUND(H36*(1+M19),0)</f>
        <v>0</v>
      </c>
      <c r="M36" s="1257" t="str">
        <f>TEXT(M19,"0.0%")&amp;" = Est. S &amp; C"</f>
        <v>0.0% = Est. S &amp; C</v>
      </c>
      <c r="O36" s="1527" t="str">
        <f t="shared" si="13"/>
        <v>0.00%</v>
      </c>
      <c r="P36" s="2">
        <f>ROUND(L36*(1+Q19),0)</f>
        <v>0</v>
      </c>
      <c r="Q36" s="1257" t="str">
        <f>TEXT(Q19,"0.0%")&amp;" = Est. S &amp; C"</f>
        <v>0.0%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D37" s="2">
        <v>0</v>
      </c>
      <c r="E37" s="1249"/>
      <c r="F37" s="2"/>
      <c r="G37" s="1527" t="str">
        <f t="shared" si="9"/>
        <v>0.00%</v>
      </c>
      <c r="H37" s="2">
        <f t="shared" si="10"/>
        <v>0</v>
      </c>
      <c r="I37" s="1257" t="str">
        <f t="shared" si="11"/>
        <v>0.0% = Est. S &amp; C</v>
      </c>
      <c r="J37" s="66"/>
      <c r="K37" s="1527" t="str">
        <f t="shared" si="12"/>
        <v>0.00%</v>
      </c>
      <c r="L37" s="2">
        <f>ROUND(H37*(1+M19),0)</f>
        <v>0</v>
      </c>
      <c r="M37" s="1257" t="str">
        <f>TEXT(M19,"0.0%")&amp;" = Est. S &amp; C"</f>
        <v>0.0% = Est. S &amp; C</v>
      </c>
      <c r="O37" s="1527" t="str">
        <f t="shared" si="13"/>
        <v>0.00%</v>
      </c>
      <c r="P37" s="2">
        <f>ROUND(L37*(1+Q19),0)</f>
        <v>0</v>
      </c>
      <c r="Q37" s="1257" t="str">
        <f>TEXT(Q19,"0.0%")&amp;" = Est. S &amp; C"</f>
        <v>0.0%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D38" s="2">
        <v>0</v>
      </c>
      <c r="E38" s="1249"/>
      <c r="F38" s="2"/>
      <c r="G38" s="1527" t="str">
        <f t="shared" si="9"/>
        <v>0.00%</v>
      </c>
      <c r="H38" s="2">
        <f t="shared" si="10"/>
        <v>0</v>
      </c>
      <c r="I38" s="1257" t="str">
        <f t="shared" si="11"/>
        <v>0.0% = Est. S &amp; C</v>
      </c>
      <c r="J38" s="66"/>
      <c r="K38" s="1527" t="str">
        <f t="shared" si="12"/>
        <v>0.00%</v>
      </c>
      <c r="L38" s="2">
        <f>ROUND(H38*(1+M19),0)</f>
        <v>0</v>
      </c>
      <c r="M38" s="1257" t="str">
        <f>TEXT(M19,"0.0%")&amp;" = Est. S &amp; C"</f>
        <v>0.0% = Est. S &amp; C</v>
      </c>
      <c r="O38" s="1527" t="str">
        <f t="shared" si="13"/>
        <v>0.00%</v>
      </c>
      <c r="P38" s="2">
        <f>ROUND(L38*(1+Q19),0)</f>
        <v>0</v>
      </c>
      <c r="Q38" s="1257" t="str">
        <f>TEXT(Q19,"0.0%")&amp;" = Est. S &amp; C"</f>
        <v>0.0%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0"/>
        <v>0</v>
      </c>
      <c r="I39" s="1257" t="str">
        <f t="shared" si="11"/>
        <v>0.0% = Est. S &amp; C</v>
      </c>
      <c r="J39" s="66"/>
      <c r="K39" s="1527" t="str">
        <f t="shared" si="12"/>
        <v>0.00%</v>
      </c>
      <c r="L39" s="2">
        <f>ROUND(H39*(1+M19),0)</f>
        <v>0</v>
      </c>
      <c r="M39" s="1257" t="str">
        <f>TEXT(M19,"0.0%")&amp;" = Est. S &amp; C"</f>
        <v>0.0% = Est. S &amp; C</v>
      </c>
      <c r="O39" s="1527" t="str">
        <f t="shared" si="13"/>
        <v>0.00%</v>
      </c>
      <c r="P39" s="2">
        <f>ROUND(L39*(1+Q19),0)</f>
        <v>0</v>
      </c>
      <c r="Q39" s="1257" t="str">
        <f>TEXT(Q19,"0.0%")&amp;" = Est. S &amp; C"</f>
        <v>0.0%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hidden="1"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3"/>
      <c r="B42" s="1317" t="s">
        <v>28</v>
      </c>
      <c r="E42" s="1249"/>
      <c r="F42" s="2"/>
      <c r="H42" s="2"/>
      <c r="I42" s="1257"/>
      <c r="J42" s="66"/>
      <c r="L42" s="2"/>
      <c r="M42" s="1335"/>
      <c r="Q42" s="1335"/>
      <c r="T42" s="2"/>
      <c r="U42" s="73"/>
      <c r="X42" s="2"/>
      <c r="Y42" s="73"/>
      <c r="AB42" s="2"/>
      <c r="AC42" s="73"/>
    </row>
    <row r="43" spans="1:29" hidden="1" x14ac:dyDescent="0.25">
      <c r="A43" s="155"/>
      <c r="B43" s="1323" t="s">
        <v>27</v>
      </c>
      <c r="E43" s="1249"/>
      <c r="F43" s="2"/>
      <c r="H43" s="2"/>
      <c r="I43" s="1257"/>
      <c r="J43" s="66"/>
      <c r="L43" s="2"/>
      <c r="M43" s="1335"/>
      <c r="Q43" s="1335"/>
      <c r="T43" s="2"/>
      <c r="U43" s="73"/>
      <c r="X43" s="2"/>
      <c r="Y43" s="73"/>
      <c r="AB43" s="2"/>
      <c r="AC43" s="73"/>
    </row>
    <row r="44" spans="1:29" hidden="1" x14ac:dyDescent="0.25">
      <c r="A44" s="153"/>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hidden="1" x14ac:dyDescent="0.25">
      <c r="A45" s="153"/>
      <c r="B45" s="1326" t="s">
        <v>84</v>
      </c>
      <c r="C45" s="1243" t="s">
        <v>77</v>
      </c>
      <c r="D45" s="2">
        <v>0</v>
      </c>
      <c r="E45" s="1240" t="str">
        <f>TEXT('MYP Assumptions'!$D$53,"0.00%")&amp;", PERS rate"</f>
        <v>13.89%, PERS rate</v>
      </c>
      <c r="F45" s="2"/>
      <c r="G45" s="1527" t="str">
        <f t="shared" si="17"/>
        <v>0.00%</v>
      </c>
      <c r="H45" s="2">
        <f>ROUND(H41*LEFT(I45,6),0)</f>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hidden="1" x14ac:dyDescent="0.25">
      <c r="A46" s="153"/>
      <c r="B46" s="1326" t="s">
        <v>85</v>
      </c>
      <c r="C46" s="1243" t="s">
        <v>78</v>
      </c>
      <c r="D46" s="2">
        <v>0</v>
      </c>
      <c r="E46" s="1240" t="str">
        <f>TEXT('MYP Assumptions'!$D$54,"0.00%")&amp;", SS rate"</f>
        <v>6.20%, SS rate</v>
      </c>
      <c r="F46" s="2"/>
      <c r="G46" s="1527" t="str">
        <f t="shared" si="17"/>
        <v>0.00%</v>
      </c>
      <c r="H46" s="2">
        <f>ROUND(H41*LEFT(I46,5),0)</f>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hidden="1" x14ac:dyDescent="0.25">
      <c r="A47" s="153"/>
      <c r="B47" s="1326" t="s">
        <v>86</v>
      </c>
      <c r="C47" s="1243" t="s">
        <v>79</v>
      </c>
      <c r="D47" s="2">
        <v>0</v>
      </c>
      <c r="E47" s="1240" t="str">
        <f>TEXT('MYP Assumptions'!$D$55,"0.00%")&amp;", Medicare rate"</f>
        <v>1.45%, Medicare rate</v>
      </c>
      <c r="F47" s="2"/>
      <c r="G47" s="1527" t="str">
        <f t="shared" si="17"/>
        <v>0.00%</v>
      </c>
      <c r="H47" s="2">
        <f>ROUND((H41+H30)*LEFT(I47,5),0)</f>
        <v>0</v>
      </c>
      <c r="I47" s="1240" t="str">
        <f>TEXT('MYP Assumptions'!E55,"0.00%")&amp;", no rate change"</f>
        <v>1.45%, no rate change</v>
      </c>
      <c r="J47" s="66"/>
      <c r="K47" s="1527" t="str">
        <f t="shared" si="18"/>
        <v>0.00%</v>
      </c>
      <c r="L47" s="2">
        <f>ROUND((L41+L30)*LEFT(M47,5),0)</f>
        <v>0</v>
      </c>
      <c r="M47" s="1240"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hidden="1" x14ac:dyDescent="0.25">
      <c r="A48" s="153"/>
      <c r="B48" s="1326" t="s">
        <v>87</v>
      </c>
      <c r="C48" s="1243" t="s">
        <v>80</v>
      </c>
      <c r="D48" s="2">
        <v>0</v>
      </c>
      <c r="E48" s="1240"/>
      <c r="F48" s="2"/>
      <c r="G48" s="1527" t="str">
        <f t="shared" si="17"/>
        <v>0.00%</v>
      </c>
      <c r="H48" s="2">
        <f>ROUND((D48)*(LEFT(I48,5)+1),0)</f>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hidden="1" x14ac:dyDescent="0.25">
      <c r="A49" s="153"/>
      <c r="B49" s="1326" t="s">
        <v>88</v>
      </c>
      <c r="C49" s="1243" t="s">
        <v>81</v>
      </c>
      <c r="D49" s="2">
        <v>0</v>
      </c>
      <c r="E49" s="1240" t="str">
        <f>TEXT('MYP Assumptions'!$D$56,"0.00%")&amp;", SUI rate"</f>
        <v>0.05%, SUI rate</v>
      </c>
      <c r="F49" s="2"/>
      <c r="G49" s="1527" t="str">
        <f t="shared" si="17"/>
        <v>0.00%</v>
      </c>
      <c r="H49" s="2">
        <f>ROUND((H41+H30)*LEFT(I49,5),0)</f>
        <v>0</v>
      </c>
      <c r="I49" s="1240" t="str">
        <f>TEXT('MYP Assumptions'!E56,"0.00%")&amp;", no rate change"</f>
        <v>0.05%, no rate change</v>
      </c>
      <c r="J49" s="66"/>
      <c r="K49" s="1527" t="str">
        <f t="shared" si="18"/>
        <v>0.00%</v>
      </c>
      <c r="L49" s="2">
        <f>ROUND((L41+L30)*LEFT(M49,5),0)</f>
        <v>0</v>
      </c>
      <c r="M49" s="1240"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hidden="1" x14ac:dyDescent="0.25">
      <c r="A50" s="153"/>
      <c r="B50" s="1326" t="s">
        <v>89</v>
      </c>
      <c r="C50" s="1243" t="s">
        <v>82</v>
      </c>
      <c r="D50" s="2">
        <v>0</v>
      </c>
      <c r="E50" s="1240" t="str">
        <f>TEXT('MYP Assumptions'!$D$57,"0.00%")&amp;", W/C rate"</f>
        <v>1.10%, W/C rate</v>
      </c>
      <c r="F50" s="2"/>
      <c r="G50" s="1527" t="str">
        <f t="shared" si="17"/>
        <v>0.00%</v>
      </c>
      <c r="H50" s="2">
        <f>ROUND((H41+H30)*LEFT(I50,5),0)</f>
        <v>0</v>
      </c>
      <c r="I50" s="1240" t="str">
        <f>TEXT('MYP Assumptions'!E57,"0.00%")&amp;", no rate change"</f>
        <v>1.10%, no rate change</v>
      </c>
      <c r="J50" s="66"/>
      <c r="K50" s="1527" t="str">
        <f t="shared" si="18"/>
        <v>0.00%</v>
      </c>
      <c r="L50" s="2">
        <f>ROUND((L41+L30)*LEFT(M50,5),0)</f>
        <v>0</v>
      </c>
      <c r="M50" s="1240"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hidden="1" x14ac:dyDescent="0.25">
      <c r="A51" s="153"/>
      <c r="B51" s="1326" t="s">
        <v>90</v>
      </c>
      <c r="C51" s="1243" t="s">
        <v>92</v>
      </c>
      <c r="D51" s="2">
        <v>0</v>
      </c>
      <c r="E51" s="1249"/>
      <c r="F51" s="2"/>
      <c r="G51" s="1527" t="str">
        <f t="shared" si="17"/>
        <v>0.00%</v>
      </c>
      <c r="H51" s="2">
        <f>D51</f>
        <v>0</v>
      </c>
      <c r="I51" s="1240" t="s">
        <v>166</v>
      </c>
      <c r="J51" s="66"/>
      <c r="K51" s="1527" t="str">
        <f t="shared" si="18"/>
        <v>0.00%</v>
      </c>
      <c r="L51" s="2">
        <f>H51</f>
        <v>0</v>
      </c>
      <c r="M51" s="1240" t="s">
        <v>166</v>
      </c>
      <c r="O51" s="1527" t="str">
        <f t="shared" si="19"/>
        <v>0.00%</v>
      </c>
      <c r="P51" s="2">
        <f>L51</f>
        <v>0</v>
      </c>
      <c r="Q51" s="1240"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3"/>
      <c r="B52" s="1326" t="s">
        <v>91</v>
      </c>
      <c r="C52" s="1243" t="s">
        <v>93</v>
      </c>
      <c r="D52" s="2">
        <v>0</v>
      </c>
      <c r="E52" s="1249"/>
      <c r="F52" s="2"/>
      <c r="G52" s="1527" t="str">
        <f t="shared" si="17"/>
        <v>0.00%</v>
      </c>
      <c r="H52" s="2">
        <f>D52</f>
        <v>0</v>
      </c>
      <c r="I52" s="1240" t="s">
        <v>166</v>
      </c>
      <c r="J52" s="66"/>
      <c r="K52" s="1527" t="str">
        <f t="shared" si="18"/>
        <v>0.00%</v>
      </c>
      <c r="L52" s="2">
        <f>H52</f>
        <v>0</v>
      </c>
      <c r="M52" s="1240" t="s">
        <v>166</v>
      </c>
      <c r="O52" s="1527" t="str">
        <f t="shared" si="19"/>
        <v>0.00%</v>
      </c>
      <c r="P52" s="2">
        <f>L52</f>
        <v>0</v>
      </c>
      <c r="Q52" s="1240"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4"/>
      <c r="B53" s="1326"/>
      <c r="D53" s="8">
        <f>SUM(D44:D52)</f>
        <v>0</v>
      </c>
      <c r="E53" s="1249"/>
      <c r="F53" s="2"/>
      <c r="G53" s="1527" t="str">
        <f t="shared" si="17"/>
        <v>0.00%</v>
      </c>
      <c r="H53" s="8">
        <f>SUM(H44:H52)</f>
        <v>0</v>
      </c>
      <c r="I53" s="1258"/>
      <c r="J53" s="29"/>
      <c r="K53" s="1527" t="str">
        <f t="shared" si="18"/>
        <v>0.00%</v>
      </c>
      <c r="L53" s="8">
        <f>SUM(L44:L52)</f>
        <v>0</v>
      </c>
      <c r="M53" s="1335"/>
      <c r="O53" s="1527" t="str">
        <f t="shared" si="19"/>
        <v>0.00%</v>
      </c>
      <c r="P53" s="8">
        <f>SUM(P44:P52)</f>
        <v>0</v>
      </c>
      <c r="Q53" s="1335"/>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5"/>
      <c r="B54" s="1326"/>
      <c r="E54" s="1249"/>
      <c r="F54" s="2"/>
      <c r="H54" s="2"/>
      <c r="I54" s="1257"/>
      <c r="J54" s="66"/>
      <c r="L54" s="2"/>
      <c r="M54" s="1335"/>
      <c r="Q54" s="1335"/>
      <c r="T54" s="2"/>
      <c r="U54" s="73"/>
      <c r="X54" s="2"/>
      <c r="Y54" s="73"/>
      <c r="AB54" s="2"/>
      <c r="AC54" s="73"/>
    </row>
    <row r="55" spans="1:29" hidden="1" x14ac:dyDescent="0.25">
      <c r="A55" s="154"/>
      <c r="B55" s="1323" t="s">
        <v>26</v>
      </c>
      <c r="D55" s="8">
        <f>SUM(D53,D41,D30)</f>
        <v>0</v>
      </c>
      <c r="E55" s="1249"/>
      <c r="F55" s="2"/>
      <c r="G55" s="1527" t="str">
        <f>IF(D55=0,"0.00%",(H55-D55)/D55)</f>
        <v>0.00%</v>
      </c>
      <c r="H55" s="8">
        <f>SUM(H53,H41,H30)</f>
        <v>0</v>
      </c>
      <c r="I55" s="1258"/>
      <c r="J55" s="29"/>
      <c r="K55" s="1527" t="str">
        <f>IF(H55=0,"0.00%",(L55-H55)/H55)</f>
        <v>0.00%</v>
      </c>
      <c r="L55" s="8">
        <f>SUM(L53,L41,L30)</f>
        <v>0</v>
      </c>
      <c r="M55" s="1335"/>
      <c r="O55" s="1527" t="str">
        <f>IF(L55=0,"0.00%",(P55-L55)/L55)</f>
        <v>0.00%</v>
      </c>
      <c r="P55" s="8">
        <f>SUM(P53,P41,P30)</f>
        <v>0</v>
      </c>
      <c r="Q55" s="1335"/>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6"/>
      <c r="E56" s="1249"/>
      <c r="F56" s="2"/>
      <c r="H56" s="2"/>
      <c r="I56" s="1257"/>
      <c r="J56" s="66"/>
      <c r="L56" s="2"/>
      <c r="M56" s="1335"/>
      <c r="Q56" s="1335"/>
      <c r="T56" s="2"/>
      <c r="U56" s="73"/>
      <c r="X56" s="2"/>
      <c r="Y56" s="73"/>
      <c r="AB56" s="2"/>
      <c r="AC56" s="73"/>
    </row>
    <row r="57" spans="1:29" x14ac:dyDescent="0.25">
      <c r="A57" s="153"/>
      <c r="E57" s="1249"/>
      <c r="F57" s="2"/>
      <c r="H57" s="2"/>
      <c r="I57" s="1257"/>
      <c r="J57" s="66"/>
      <c r="L57" s="2"/>
      <c r="M57" s="1335"/>
      <c r="Q57" s="1335"/>
      <c r="T57" s="2"/>
      <c r="U57" s="73"/>
      <c r="X57" s="2"/>
      <c r="Y57" s="73"/>
      <c r="AB57" s="2"/>
      <c r="AC57" s="73"/>
    </row>
    <row r="58" spans="1:29" x14ac:dyDescent="0.25">
      <c r="A58" s="156"/>
      <c r="B58" s="1327" t="s">
        <v>25</v>
      </c>
      <c r="C58" s="1259"/>
      <c r="E58" s="1249"/>
      <c r="F58" s="2"/>
      <c r="H58" s="2"/>
      <c r="I58" s="1257"/>
      <c r="J58" s="66"/>
      <c r="L58" s="2"/>
      <c r="M58" s="1335"/>
      <c r="Q58" s="1335"/>
      <c r="T58" s="2"/>
      <c r="U58" s="73"/>
      <c r="X58" s="2"/>
      <c r="Y58" s="73"/>
      <c r="AB58" s="2"/>
      <c r="AC58" s="73"/>
    </row>
    <row r="59" spans="1:29" x14ac:dyDescent="0.25">
      <c r="A59" s="153"/>
      <c r="B59" s="1326">
        <v>4110</v>
      </c>
      <c r="C59" s="1243" t="s">
        <v>287</v>
      </c>
      <c r="D59" s="2">
        <v>596400</v>
      </c>
      <c r="E59" s="1249"/>
      <c r="F59" s="2"/>
      <c r="G59" s="1527">
        <f t="shared" ref="G59:G62" si="23">IF(D59=0,"0.00%",(H59-D59)/D59)</f>
        <v>1.6175720992622402</v>
      </c>
      <c r="H59" s="2">
        <v>1561120</v>
      </c>
      <c r="I59" s="1240" t="s">
        <v>817</v>
      </c>
      <c r="J59" s="66"/>
      <c r="K59" s="1527">
        <f t="shared" ref="K59:K62" si="24">IF(H59=0,"0.00%",(L59-H59)/H59)</f>
        <v>-0.77079847801578349</v>
      </c>
      <c r="L59" s="2">
        <f>-'Textbook Adoption Schedule'!F14-L60</f>
        <v>357811.08000000007</v>
      </c>
      <c r="M59" s="1240" t="s">
        <v>288</v>
      </c>
      <c r="O59" s="1527">
        <f t="shared" ref="O59:O62" si="25">IF(L59=0,"0.00%",(P59-L59)/L59)</f>
        <v>2.0421167505488998E-2</v>
      </c>
      <c r="P59" s="2">
        <v>365118</v>
      </c>
      <c r="Q59" s="1240" t="s">
        <v>688</v>
      </c>
      <c r="S59" s="83" t="e">
        <f t="shared" ref="S59:S62" si="26">IF(P59=0,"0.00%",(T59-P59)/P59)</f>
        <v>#VALUE!</v>
      </c>
      <c r="T59" s="2" t="e">
        <f>ROUND(P59*(LEFT(U59,5)+1),0)</f>
        <v>#VALUE!</v>
      </c>
      <c r="U59" s="81" t="s">
        <v>288</v>
      </c>
      <c r="W59" s="83" t="e">
        <f t="shared" ref="W59:W62" si="27">IF(T59=0,"0.00%",(X59-T59)/T59)</f>
        <v>#VALUE!</v>
      </c>
      <c r="X59" s="2" t="e">
        <f>ROUND(T59*(LEFT(Y59,5)+1),0)</f>
        <v>#VALUE!</v>
      </c>
      <c r="Y59" s="81" t="s">
        <v>288</v>
      </c>
      <c r="AA59" s="83" t="e">
        <f t="shared" ref="AA59:AA62" si="28">IF(X59=0,"0.00%",(AB59-X59)/X59)</f>
        <v>#VALUE!</v>
      </c>
      <c r="AB59" s="2" t="e">
        <f>ROUND(X59*(LEFT(AC59,5)+1),0)</f>
        <v>#VALUE!</v>
      </c>
      <c r="AC59" s="81" t="s">
        <v>288</v>
      </c>
    </row>
    <row r="60" spans="1:29" x14ac:dyDescent="0.25">
      <c r="A60" s="153"/>
      <c r="B60" s="1326">
        <v>4310</v>
      </c>
      <c r="C60" s="1243" t="s">
        <v>286</v>
      </c>
      <c r="D60" s="2">
        <v>57858</v>
      </c>
      <c r="E60" s="1249"/>
      <c r="F60" s="2"/>
      <c r="G60" s="1527">
        <f t="shared" si="23"/>
        <v>-6.5366932835562927E-2</v>
      </c>
      <c r="H60" s="2">
        <v>54076</v>
      </c>
      <c r="I60" s="1240" t="s">
        <v>174</v>
      </c>
      <c r="J60" s="66"/>
      <c r="K60" s="1527">
        <f t="shared" si="24"/>
        <v>-7.5375397588579043E-2</v>
      </c>
      <c r="L60" s="2">
        <v>50000</v>
      </c>
      <c r="M60" s="1240" t="s">
        <v>174</v>
      </c>
      <c r="O60" s="1527">
        <f t="shared" si="25"/>
        <v>-1</v>
      </c>
      <c r="P60" s="2">
        <v>0</v>
      </c>
      <c r="Q60" s="1240" t="s">
        <v>689</v>
      </c>
      <c r="S60" s="83" t="str">
        <f t="shared" si="26"/>
        <v>0.00%</v>
      </c>
      <c r="T60" s="2">
        <f>+P60</f>
        <v>0</v>
      </c>
      <c r="U60" s="81" t="s">
        <v>174</v>
      </c>
      <c r="W60" s="83" t="str">
        <f t="shared" si="27"/>
        <v>0.00%</v>
      </c>
      <c r="X60" s="2">
        <f>+T60</f>
        <v>0</v>
      </c>
      <c r="Y60" s="81" t="s">
        <v>174</v>
      </c>
      <c r="AA60" s="83" t="str">
        <f t="shared" si="28"/>
        <v>0.00%</v>
      </c>
      <c r="AB60" s="2">
        <f>+X60</f>
        <v>0</v>
      </c>
      <c r="AC60" s="81" t="s">
        <v>174</v>
      </c>
    </row>
    <row r="61" spans="1:29" x14ac:dyDescent="0.25">
      <c r="A61" s="153"/>
      <c r="B61" s="1326"/>
      <c r="C61" s="1328"/>
      <c r="E61" s="1249"/>
      <c r="F61" s="2"/>
      <c r="G61" s="1527"/>
      <c r="H61" s="2"/>
      <c r="I61" s="1240"/>
      <c r="J61" s="66"/>
      <c r="K61" s="1527"/>
      <c r="L61" s="2"/>
      <c r="M61" s="1240"/>
      <c r="O61" s="1527"/>
      <c r="Q61" s="1240"/>
      <c r="S61" s="83"/>
      <c r="T61" s="2"/>
      <c r="U61" s="81"/>
      <c r="W61" s="83"/>
      <c r="X61" s="2"/>
      <c r="Y61" s="81"/>
      <c r="AA61" s="83"/>
      <c r="AB61" s="2"/>
      <c r="AC61" s="81"/>
    </row>
    <row r="62" spans="1:29" x14ac:dyDescent="0.25">
      <c r="A62" s="154"/>
      <c r="B62" s="1243"/>
      <c r="D62" s="8">
        <f>SUM(D59:D61)</f>
        <v>654258</v>
      </c>
      <c r="E62" s="1249"/>
      <c r="F62" s="2"/>
      <c r="G62" s="1527">
        <f t="shared" si="23"/>
        <v>1.4687447459564882</v>
      </c>
      <c r="H62" s="8">
        <f>SUM(H59:H61)</f>
        <v>1615196</v>
      </c>
      <c r="I62" s="1882">
        <f>+H62-D62</f>
        <v>960938</v>
      </c>
      <c r="J62" s="29"/>
      <c r="K62" s="1527">
        <f t="shared" si="24"/>
        <v>-0.74751604139683347</v>
      </c>
      <c r="L62" s="8">
        <f>SUM(L59:L61)</f>
        <v>407811.08000000007</v>
      </c>
      <c r="M62" s="1882">
        <f>+L62-H62</f>
        <v>-1207384.92</v>
      </c>
      <c r="O62" s="1527">
        <f t="shared" si="25"/>
        <v>-0.10468837678466232</v>
      </c>
      <c r="P62" s="8">
        <f>SUM(P59:P61)</f>
        <v>365118</v>
      </c>
      <c r="Q62" s="1882">
        <f>+P62-L62</f>
        <v>-42693.080000000075</v>
      </c>
      <c r="S62" s="83" t="e">
        <f t="shared" si="26"/>
        <v>#VALUE!</v>
      </c>
      <c r="T62" s="8" t="e">
        <f>SUM(T59:T61)</f>
        <v>#VALUE!</v>
      </c>
      <c r="U62" s="73"/>
      <c r="W62" s="83" t="e">
        <f t="shared" si="27"/>
        <v>#VALUE!</v>
      </c>
      <c r="X62" s="8" t="e">
        <f>SUM(X59:X61)</f>
        <v>#VALUE!</v>
      </c>
      <c r="Y62" s="73"/>
      <c r="AA62" s="83" t="e">
        <f t="shared" si="28"/>
        <v>#VALUE!</v>
      </c>
      <c r="AB62" s="8" t="e">
        <f>SUM(AB59:AB61)</f>
        <v>#VALUE!</v>
      </c>
      <c r="AC62" s="73"/>
    </row>
    <row r="63" spans="1:29" x14ac:dyDescent="0.25">
      <c r="A63" s="153"/>
      <c r="E63" s="1249"/>
      <c r="F63" s="2"/>
      <c r="H63" s="2"/>
      <c r="I63" s="1257"/>
      <c r="J63" s="66"/>
      <c r="L63" s="2"/>
      <c r="M63" s="1335"/>
      <c r="Q63" s="1335"/>
      <c r="T63" s="2"/>
      <c r="U63" s="73"/>
      <c r="X63" s="2"/>
      <c r="Y63" s="73"/>
      <c r="AB63" s="2"/>
      <c r="AC63" s="73"/>
    </row>
    <row r="64" spans="1:29" s="4" customFormat="1" x14ac:dyDescent="0.25">
      <c r="A64" s="151"/>
      <c r="B64" s="1323" t="s">
        <v>16</v>
      </c>
      <c r="C64" s="1259"/>
      <c r="D64" s="6"/>
      <c r="E64" s="1250"/>
      <c r="F64" s="6"/>
      <c r="G64" s="1539"/>
      <c r="H64" s="6"/>
      <c r="I64" s="1259"/>
      <c r="J64" s="58"/>
      <c r="K64" s="1571"/>
      <c r="L64" s="6"/>
      <c r="M64" s="1337"/>
      <c r="O64" s="1571"/>
      <c r="P64" s="6"/>
      <c r="Q64" s="1337"/>
      <c r="R64" s="111"/>
      <c r="U64" s="71"/>
      <c r="Y64" s="71"/>
      <c r="AC64" s="71"/>
    </row>
    <row r="65" spans="1:29" hidden="1" x14ac:dyDescent="0.25">
      <c r="A65" s="153"/>
      <c r="B65" s="1326"/>
      <c r="D65" s="2">
        <v>0</v>
      </c>
      <c r="E65" s="1249"/>
      <c r="F65" s="2"/>
      <c r="G65" s="1527" t="str">
        <f t="shared" ref="G65:G70" si="29">IF(D65=0,"0.00%",(H65-D65)/D65)</f>
        <v>0.00%</v>
      </c>
      <c r="H65" s="2">
        <f>ROUND(D65*(LEFT(I65,5)+1),0)</f>
        <v>0</v>
      </c>
      <c r="I65" s="1240" t="str">
        <f>TEXT('MYP Assumptions'!E72,"0.00%")&amp;", CPI"</f>
        <v>3.11%, CPI</v>
      </c>
      <c r="J65" s="66"/>
      <c r="K65" s="1527" t="str">
        <f t="shared" ref="K65:K78" si="30">IF(H65=0,"0.00%",(L65-H65)/H65)</f>
        <v>0.00%</v>
      </c>
      <c r="L65" s="2">
        <f>ROUND(H65*(LEFT(M65,5)+1),0)</f>
        <v>0</v>
      </c>
      <c r="M65" s="1240" t="str">
        <f>TEXT('MYP Assumptions'!F72,"0.00%")&amp;", CPI"</f>
        <v>3.19%, CPI</v>
      </c>
      <c r="O65" s="1527" t="str">
        <f t="shared" ref="O65:O78" si="31">IF(L65=0,"0.00%",(P65-L65)/L65)</f>
        <v>0.00%</v>
      </c>
      <c r="P65" s="2">
        <f>ROUND(L65*(LEFT(Q65,5)+1),0)</f>
        <v>0</v>
      </c>
      <c r="Q65" s="1240" t="str">
        <f>TEXT('MYP Assumptions'!G72,"0.00%")&amp;", CPI"</f>
        <v>2.86%, CPI</v>
      </c>
      <c r="S65" s="83" t="str">
        <f t="shared" ref="S65:S78" si="32">IF(P65=0,"0.00%",(T65-P65)/P65)</f>
        <v>0.00%</v>
      </c>
      <c r="T65" s="2">
        <f>ROUND(P65*(LEFT(U65,5)+1),0)</f>
        <v>0</v>
      </c>
      <c r="U65" s="81" t="str">
        <f>TEXT('MYP Assumptions'!H72,"0.00%")&amp;", CPI"</f>
        <v>2.73%, CPI</v>
      </c>
      <c r="W65" s="83" t="str">
        <f t="shared" ref="W65:W78" si="33">IF(T65=0,"0.00%",(X65-T65)/T65)</f>
        <v>0.00%</v>
      </c>
      <c r="X65" s="2">
        <f>ROUND(T65*(LEFT(Y65,5)+1),0)</f>
        <v>0</v>
      </c>
      <c r="Y65" s="81" t="str">
        <f>TEXT('MYP Assumptions'!I72,"0.00%")&amp;", CPI"</f>
        <v>2.73%, CPI</v>
      </c>
      <c r="AA65" s="83" t="str">
        <f t="shared" ref="AA65:AA78" si="34">IF(X65=0,"0.00%",(AB65-X65)/X65)</f>
        <v>0.00%</v>
      </c>
      <c r="AB65" s="2">
        <f>ROUND(X65*(LEFT(AC65,5)+1),0)</f>
        <v>0</v>
      </c>
      <c r="AC65" s="81" t="str">
        <f>TEXT('MYP Assumptions'!J72,"0.00%")&amp;", CPI"</f>
        <v>2.73%, CPI</v>
      </c>
    </row>
    <row r="66" spans="1:29" hidden="1" x14ac:dyDescent="0.25">
      <c r="A66" s="153"/>
      <c r="B66" s="1326"/>
      <c r="D66" s="2">
        <v>0</v>
      </c>
      <c r="E66" s="1249"/>
      <c r="F66" s="2"/>
      <c r="G66" s="1527" t="str">
        <f t="shared" si="29"/>
        <v>0.00%</v>
      </c>
      <c r="H66" s="2">
        <f>ROUND(D66*(LEFT(I66,5)+1),0)</f>
        <v>0</v>
      </c>
      <c r="I66" s="1240" t="str">
        <f>TEXT('MYP Assumptions'!E72,"0.00%")&amp;", CPI"</f>
        <v>3.11%, CPI</v>
      </c>
      <c r="J66" s="66"/>
      <c r="K66" s="1527" t="str">
        <f t="shared" si="30"/>
        <v>0.00%</v>
      </c>
      <c r="L66" s="2">
        <f t="shared" ref="L66:L77" si="35">ROUND(H66*(LEFT(M66,5)+1),0)</f>
        <v>0</v>
      </c>
      <c r="M66" s="1240" t="str">
        <f>TEXT('MYP Assumptions'!F72,"0.00%")&amp;", CPI"</f>
        <v>3.19%, CPI</v>
      </c>
      <c r="O66" s="1527" t="str">
        <f t="shared" si="31"/>
        <v>0.00%</v>
      </c>
      <c r="P66" s="2">
        <f t="shared" ref="P66:P77" si="36">ROUND(L66*(LEFT(Q66,5)+1),0)</f>
        <v>0</v>
      </c>
      <c r="Q66" s="1240" t="str">
        <f>TEXT('MYP Assumptions'!G72,"0.00%")&amp;", CPI"</f>
        <v>2.86%, CPI</v>
      </c>
      <c r="S66" s="83" t="str">
        <f t="shared" si="32"/>
        <v>0.00%</v>
      </c>
      <c r="T66" s="2">
        <f t="shared" ref="T66:T77" si="37">ROUND(P66*(LEFT(U66,5)+1),0)</f>
        <v>0</v>
      </c>
      <c r="U66" s="81" t="str">
        <f>TEXT('MYP Assumptions'!H72,"0.00%")&amp;", CPI"</f>
        <v>2.73%, CPI</v>
      </c>
      <c r="W66" s="83" t="str">
        <f t="shared" si="33"/>
        <v>0.00%</v>
      </c>
      <c r="X66" s="2">
        <f t="shared" ref="X66:X77" si="38">ROUND(T66*(LEFT(Y66,5)+1),0)</f>
        <v>0</v>
      </c>
      <c r="Y66" s="81" t="str">
        <f>TEXT('MYP Assumptions'!I72,"0.00%")&amp;", CPI"</f>
        <v>2.73%, CPI</v>
      </c>
      <c r="AA66" s="83" t="str">
        <f t="shared" si="34"/>
        <v>0.00%</v>
      </c>
      <c r="AB66" s="2">
        <f t="shared" ref="AB66:AB77" si="39">ROUND(X66*(LEFT(AC66,5)+1),0)</f>
        <v>0</v>
      </c>
      <c r="AC66" s="81" t="str">
        <f>TEXT('MYP Assumptions'!J72,"0.00%")&amp;", CPI"</f>
        <v>2.73%, CPI</v>
      </c>
    </row>
    <row r="67" spans="1:29" hidden="1" x14ac:dyDescent="0.25">
      <c r="A67" s="153"/>
      <c r="B67" s="1326"/>
      <c r="D67" s="2">
        <v>0</v>
      </c>
      <c r="E67" s="1249"/>
      <c r="F67" s="2"/>
      <c r="G67" s="1527" t="str">
        <f t="shared" si="29"/>
        <v>0.00%</v>
      </c>
      <c r="H67" s="2">
        <f t="shared" ref="H67:H72" si="40">ROUND(D67*(LEFT(I67,5)+1),0)</f>
        <v>0</v>
      </c>
      <c r="I67" s="1240" t="str">
        <f>TEXT('MYP Assumptions'!E72,"0.00%")&amp;", CPI"</f>
        <v>3.11%, CPI</v>
      </c>
      <c r="J67" s="66"/>
      <c r="K67" s="1527" t="str">
        <f t="shared" si="30"/>
        <v>0.00%</v>
      </c>
      <c r="L67" s="2">
        <f t="shared" si="35"/>
        <v>0</v>
      </c>
      <c r="M67" s="1240" t="str">
        <f>TEXT('MYP Assumptions'!F72,"0.00%")&amp;", CPI"</f>
        <v>3.19%, CPI</v>
      </c>
      <c r="O67" s="1527" t="str">
        <f t="shared" si="31"/>
        <v>0.00%</v>
      </c>
      <c r="P67" s="2">
        <f t="shared" si="36"/>
        <v>0</v>
      </c>
      <c r="Q67" s="1240" t="str">
        <f>TEXT('MYP Assumptions'!G72,"0.00%")&amp;", CPI"</f>
        <v>2.86%, CPI</v>
      </c>
      <c r="S67" s="83" t="str">
        <f t="shared" si="32"/>
        <v>0.00%</v>
      </c>
      <c r="T67" s="2">
        <f t="shared" si="37"/>
        <v>0</v>
      </c>
      <c r="U67" s="81" t="str">
        <f>TEXT('MYP Assumptions'!H72,"0.00%")&amp;", CPI"</f>
        <v>2.73%, CPI</v>
      </c>
      <c r="W67" s="83" t="str">
        <f t="shared" si="33"/>
        <v>0.00%</v>
      </c>
      <c r="X67" s="2">
        <f t="shared" si="38"/>
        <v>0</v>
      </c>
      <c r="Y67" s="81" t="str">
        <f>TEXT('MYP Assumptions'!I72,"0.00%")&amp;", CPI"</f>
        <v>2.73%, CPI</v>
      </c>
      <c r="AA67" s="83" t="str">
        <f t="shared" si="34"/>
        <v>0.00%</v>
      </c>
      <c r="AB67" s="2">
        <f t="shared" si="39"/>
        <v>0</v>
      </c>
      <c r="AC67" s="81" t="str">
        <f>TEXT('MYP Assumptions'!J72,"0.00%")&amp;", CPI"</f>
        <v>2.73%, CPI</v>
      </c>
    </row>
    <row r="68" spans="1:29" hidden="1" x14ac:dyDescent="0.25">
      <c r="A68" s="153"/>
      <c r="B68" s="1326"/>
      <c r="D68" s="2">
        <v>0</v>
      </c>
      <c r="E68" s="1249"/>
      <c r="F68" s="2"/>
      <c r="G68" s="1527" t="str">
        <f t="shared" si="29"/>
        <v>0.00%</v>
      </c>
      <c r="H68" s="2">
        <f t="shared" si="40"/>
        <v>0</v>
      </c>
      <c r="I68" s="1240" t="str">
        <f>TEXT('MYP Assumptions'!E72,"0.00%")&amp;", CPI"</f>
        <v>3.11%, CPI</v>
      </c>
      <c r="J68" s="66"/>
      <c r="K68" s="1527" t="str">
        <f t="shared" si="30"/>
        <v>0.00%</v>
      </c>
      <c r="L68" s="2">
        <f t="shared" si="35"/>
        <v>0</v>
      </c>
      <c r="M68" s="1240" t="str">
        <f>TEXT('MYP Assumptions'!F72,"0.00%")&amp;", CPI"</f>
        <v>3.19%, CPI</v>
      </c>
      <c r="O68" s="1527" t="str">
        <f t="shared" si="31"/>
        <v>0.00%</v>
      </c>
      <c r="P68" s="2">
        <f t="shared" si="36"/>
        <v>0</v>
      </c>
      <c r="Q68" s="1240" t="str">
        <f>TEXT('MYP Assumptions'!G72,"0.00%")&amp;", CPI"</f>
        <v>2.86%, CPI</v>
      </c>
      <c r="S68" s="83" t="str">
        <f t="shared" si="32"/>
        <v>0.00%</v>
      </c>
      <c r="T68" s="2">
        <f t="shared" si="37"/>
        <v>0</v>
      </c>
      <c r="U68" s="81" t="str">
        <f>TEXT('MYP Assumptions'!H72,"0.00%")&amp;", CPI"</f>
        <v>2.73%, CPI</v>
      </c>
      <c r="W68" s="83" t="str">
        <f t="shared" si="33"/>
        <v>0.00%</v>
      </c>
      <c r="X68" s="2">
        <f t="shared" si="38"/>
        <v>0</v>
      </c>
      <c r="Y68" s="81" t="str">
        <f>TEXT('MYP Assumptions'!I72,"0.00%")&amp;", CPI"</f>
        <v>2.73%, CPI</v>
      </c>
      <c r="AA68" s="83" t="str">
        <f t="shared" si="34"/>
        <v>0.00%</v>
      </c>
      <c r="AB68" s="2">
        <f t="shared" si="39"/>
        <v>0</v>
      </c>
      <c r="AC68" s="81" t="str">
        <f>TEXT('MYP Assumptions'!J72,"0.00%")&amp;", CPI"</f>
        <v>2.73%, CPI</v>
      </c>
    </row>
    <row r="69" spans="1:29" hidden="1" x14ac:dyDescent="0.25">
      <c r="A69" s="153"/>
      <c r="B69" s="1326"/>
      <c r="D69" s="2">
        <v>0</v>
      </c>
      <c r="E69" s="1249"/>
      <c r="F69" s="2"/>
      <c r="G69" s="1527" t="str">
        <f t="shared" si="29"/>
        <v>0.00%</v>
      </c>
      <c r="H69" s="2">
        <f t="shared" si="40"/>
        <v>0</v>
      </c>
      <c r="I69" s="1240" t="str">
        <f>TEXT('MYP Assumptions'!E72,"0.00%")&amp;", CPI"</f>
        <v>3.11%, CPI</v>
      </c>
      <c r="J69" s="66"/>
      <c r="K69" s="1527" t="str">
        <f t="shared" si="30"/>
        <v>0.00%</v>
      </c>
      <c r="L69" s="2">
        <f t="shared" si="35"/>
        <v>0</v>
      </c>
      <c r="M69" s="1240" t="str">
        <f>TEXT('MYP Assumptions'!F72,"0.00%")&amp;", CPI"</f>
        <v>3.19%, CPI</v>
      </c>
      <c r="O69" s="1527" t="str">
        <f t="shared" si="31"/>
        <v>0.00%</v>
      </c>
      <c r="P69" s="2">
        <f t="shared" si="36"/>
        <v>0</v>
      </c>
      <c r="Q69" s="1240" t="str">
        <f>TEXT('MYP Assumptions'!G72,"0.00%")&amp;", CPI"</f>
        <v>2.86%, CPI</v>
      </c>
      <c r="S69" s="83" t="str">
        <f t="shared" si="32"/>
        <v>0.00%</v>
      </c>
      <c r="T69" s="2">
        <f t="shared" si="37"/>
        <v>0</v>
      </c>
      <c r="U69" s="81" t="str">
        <f>TEXT('MYP Assumptions'!H72,"0.00%")&amp;", CPI"</f>
        <v>2.73%, CPI</v>
      </c>
      <c r="W69" s="83" t="str">
        <f t="shared" si="33"/>
        <v>0.00%</v>
      </c>
      <c r="X69" s="2">
        <f t="shared" si="38"/>
        <v>0</v>
      </c>
      <c r="Y69" s="81" t="str">
        <f>TEXT('MYP Assumptions'!I72,"0.00%")&amp;", CPI"</f>
        <v>2.73%, CPI</v>
      </c>
      <c r="AA69" s="83" t="str">
        <f t="shared" si="34"/>
        <v>0.00%</v>
      </c>
      <c r="AB69" s="2">
        <f t="shared" si="39"/>
        <v>0</v>
      </c>
      <c r="AC69" s="81" t="str">
        <f>TEXT('MYP Assumptions'!J72,"0.00%")&amp;", CPI"</f>
        <v>2.73%, CPI</v>
      </c>
    </row>
    <row r="70" spans="1:29" hidden="1" x14ac:dyDescent="0.25">
      <c r="A70" s="153"/>
      <c r="B70" s="1326"/>
      <c r="D70" s="2">
        <v>0</v>
      </c>
      <c r="E70" s="1249"/>
      <c r="F70" s="2"/>
      <c r="G70" s="1527" t="str">
        <f t="shared" si="29"/>
        <v>0.00%</v>
      </c>
      <c r="H70" s="2">
        <f t="shared" si="40"/>
        <v>0</v>
      </c>
      <c r="I70" s="1240" t="str">
        <f>TEXT('MYP Assumptions'!E72,"0.00%")&amp;", CPI"</f>
        <v>3.11%, CPI</v>
      </c>
      <c r="J70" s="66"/>
      <c r="K70" s="1527" t="str">
        <f t="shared" si="30"/>
        <v>0.00%</v>
      </c>
      <c r="L70" s="2">
        <f t="shared" si="35"/>
        <v>0</v>
      </c>
      <c r="M70" s="1240" t="str">
        <f>TEXT('MYP Assumptions'!F72,"0.00%")&amp;", CPI"</f>
        <v>3.19%, CPI</v>
      </c>
      <c r="O70" s="1527" t="str">
        <f t="shared" si="31"/>
        <v>0.00%</v>
      </c>
      <c r="P70" s="2">
        <f t="shared" si="36"/>
        <v>0</v>
      </c>
      <c r="Q70" s="1240" t="str">
        <f>TEXT('MYP Assumptions'!G72,"0.00%")&amp;", CPI"</f>
        <v>2.86%, CPI</v>
      </c>
      <c r="S70" s="83" t="str">
        <f t="shared" si="32"/>
        <v>0.00%</v>
      </c>
      <c r="T70" s="2">
        <f t="shared" si="37"/>
        <v>0</v>
      </c>
      <c r="U70" s="81" t="str">
        <f>TEXT('MYP Assumptions'!H72,"0.00%")&amp;", CPI"</f>
        <v>2.73%, CPI</v>
      </c>
      <c r="W70" s="83" t="str">
        <f t="shared" si="33"/>
        <v>0.00%</v>
      </c>
      <c r="X70" s="2">
        <f t="shared" si="38"/>
        <v>0</v>
      </c>
      <c r="Y70" s="81" t="str">
        <f>TEXT('MYP Assumptions'!I72,"0.00%")&amp;", CPI"</f>
        <v>2.73%, CPI</v>
      </c>
      <c r="AA70" s="83" t="str">
        <f t="shared" si="34"/>
        <v>0.00%</v>
      </c>
      <c r="AB70" s="2">
        <f t="shared" si="39"/>
        <v>0</v>
      </c>
      <c r="AC70" s="81" t="str">
        <f>TEXT('MYP Assumptions'!J72,"0.00%")&amp;", CPI"</f>
        <v>2.73%, CPI</v>
      </c>
    </row>
    <row r="71" spans="1:29" hidden="1" x14ac:dyDescent="0.25">
      <c r="A71" s="153"/>
      <c r="B71" s="1326"/>
      <c r="D71" s="2">
        <v>0</v>
      </c>
      <c r="E71" s="1249"/>
      <c r="F71" s="2"/>
      <c r="G71" s="1527" t="str">
        <f>IF(D71=0,"0.00%",(H71-D71)/D71)</f>
        <v>0.00%</v>
      </c>
      <c r="H71" s="2">
        <f t="shared" si="40"/>
        <v>0</v>
      </c>
      <c r="I71" s="1240" t="str">
        <f>TEXT('MYP Assumptions'!E72,"0.00%")&amp;", CPI"</f>
        <v>3.11%, CPI</v>
      </c>
      <c r="J71" s="66"/>
      <c r="K71" s="1527" t="str">
        <f t="shared" si="30"/>
        <v>0.00%</v>
      </c>
      <c r="L71" s="2">
        <f t="shared" si="35"/>
        <v>0</v>
      </c>
      <c r="M71" s="1240" t="str">
        <f>TEXT('MYP Assumptions'!F72,"0.00%")&amp;", CPI"</f>
        <v>3.19%, CPI</v>
      </c>
      <c r="O71" s="1527" t="str">
        <f t="shared" si="31"/>
        <v>0.00%</v>
      </c>
      <c r="P71" s="2">
        <f t="shared" si="36"/>
        <v>0</v>
      </c>
      <c r="Q71" s="1240" t="str">
        <f>TEXT('MYP Assumptions'!G72,"0.00%")&amp;", CPI"</f>
        <v>2.86%, CPI</v>
      </c>
      <c r="S71" s="83" t="str">
        <f t="shared" si="32"/>
        <v>0.00%</v>
      </c>
      <c r="T71" s="2">
        <f t="shared" si="37"/>
        <v>0</v>
      </c>
      <c r="U71" s="81" t="str">
        <f>TEXT('MYP Assumptions'!H72,"0.00%")&amp;", CPI"</f>
        <v>2.73%, CPI</v>
      </c>
      <c r="W71" s="83" t="str">
        <f t="shared" si="33"/>
        <v>0.00%</v>
      </c>
      <c r="X71" s="2">
        <f t="shared" si="38"/>
        <v>0</v>
      </c>
      <c r="Y71" s="81" t="str">
        <f>TEXT('MYP Assumptions'!I72,"0.00%")&amp;", CPI"</f>
        <v>2.73%, CPI</v>
      </c>
      <c r="AA71" s="83" t="str">
        <f t="shared" si="34"/>
        <v>0.00%</v>
      </c>
      <c r="AB71" s="2">
        <f t="shared" si="39"/>
        <v>0</v>
      </c>
      <c r="AC71" s="81" t="str">
        <f>TEXT('MYP Assumptions'!J72,"0.00%")&amp;", CPI"</f>
        <v>2.73%, CPI</v>
      </c>
    </row>
    <row r="72" spans="1:29" hidden="1" x14ac:dyDescent="0.25">
      <c r="A72" s="153"/>
      <c r="B72" s="1326"/>
      <c r="D72" s="2">
        <v>0</v>
      </c>
      <c r="E72" s="1249"/>
      <c r="F72" s="2"/>
      <c r="G72" s="1527" t="str">
        <f t="shared" ref="G72:G78" si="41">IF(D72=0,"0.00%",(H72-D72)/D72)</f>
        <v>0.00%</v>
      </c>
      <c r="H72" s="2">
        <f t="shared" si="40"/>
        <v>0</v>
      </c>
      <c r="I72" s="1240" t="str">
        <f>TEXT('MYP Assumptions'!E72,"0.00%")&amp;", CPI"</f>
        <v>3.11%, CPI</v>
      </c>
      <c r="J72" s="66"/>
      <c r="K72" s="1527" t="str">
        <f t="shared" si="30"/>
        <v>0.00%</v>
      </c>
      <c r="L72" s="2">
        <f t="shared" si="35"/>
        <v>0</v>
      </c>
      <c r="M72" s="1240" t="str">
        <f>TEXT('MYP Assumptions'!F72,"0.00%")&amp;", CPI"</f>
        <v>3.19%, CPI</v>
      </c>
      <c r="O72" s="1527" t="str">
        <f t="shared" si="31"/>
        <v>0.00%</v>
      </c>
      <c r="P72" s="2">
        <f t="shared" si="36"/>
        <v>0</v>
      </c>
      <c r="Q72" s="1240" t="str">
        <f>TEXT('MYP Assumptions'!G72,"0.00%")&amp;", CPI"</f>
        <v>2.86%, CPI</v>
      </c>
      <c r="S72" s="83" t="str">
        <f t="shared" si="32"/>
        <v>0.00%</v>
      </c>
      <c r="T72" s="2">
        <f t="shared" si="37"/>
        <v>0</v>
      </c>
      <c r="U72" s="81" t="str">
        <f>TEXT('MYP Assumptions'!H72,"0.00%")&amp;", CPI"</f>
        <v>2.73%, CPI</v>
      </c>
      <c r="W72" s="83" t="str">
        <f t="shared" si="33"/>
        <v>0.00%</v>
      </c>
      <c r="X72" s="2">
        <f t="shared" si="38"/>
        <v>0</v>
      </c>
      <c r="Y72" s="81" t="str">
        <f>TEXT('MYP Assumptions'!I72,"0.00%")&amp;", CPI"</f>
        <v>2.73%, CPI</v>
      </c>
      <c r="AA72" s="83" t="str">
        <f t="shared" si="34"/>
        <v>0.00%</v>
      </c>
      <c r="AB72" s="2">
        <f t="shared" si="39"/>
        <v>0</v>
      </c>
      <c r="AC72" s="81" t="str">
        <f>TEXT('MYP Assumptions'!J72,"0.00%")&amp;", CPI"</f>
        <v>2.73%, CPI</v>
      </c>
    </row>
    <row r="73" spans="1:29" hidden="1" x14ac:dyDescent="0.25">
      <c r="A73" s="153"/>
      <c r="B73" s="1326"/>
      <c r="D73" s="2">
        <v>0</v>
      </c>
      <c r="E73" s="1249"/>
      <c r="F73" s="2"/>
      <c r="G73" s="1527" t="str">
        <f t="shared" si="41"/>
        <v>0.00%</v>
      </c>
      <c r="H73" s="2">
        <f>ROUND(D73*(LEFT(I73,5)+1),0)</f>
        <v>0</v>
      </c>
      <c r="I73" s="1240" t="str">
        <f>TEXT('MYP Assumptions'!E72,"0.00%")&amp;", CPI"</f>
        <v>3.11%, CPI</v>
      </c>
      <c r="J73" s="66"/>
      <c r="K73" s="1527" t="str">
        <f t="shared" si="30"/>
        <v>0.00%</v>
      </c>
      <c r="L73" s="2">
        <f t="shared" si="35"/>
        <v>0</v>
      </c>
      <c r="M73" s="1240" t="str">
        <f>TEXT('MYP Assumptions'!F72,"0.00%")&amp;", CPI"</f>
        <v>3.19%, CPI</v>
      </c>
      <c r="O73" s="1527" t="str">
        <f t="shared" si="31"/>
        <v>0.00%</v>
      </c>
      <c r="P73" s="2">
        <f t="shared" si="36"/>
        <v>0</v>
      </c>
      <c r="Q73" s="1240" t="str">
        <f>TEXT('MYP Assumptions'!G72,"0.00%")&amp;", CPI"</f>
        <v>2.86%, CPI</v>
      </c>
      <c r="S73" s="83" t="str">
        <f t="shared" si="32"/>
        <v>0.00%</v>
      </c>
      <c r="T73" s="2">
        <f t="shared" si="37"/>
        <v>0</v>
      </c>
      <c r="U73" s="81" t="str">
        <f>TEXT('MYP Assumptions'!H72,"0.00%")&amp;", CPI"</f>
        <v>2.73%, CPI</v>
      </c>
      <c r="W73" s="83" t="str">
        <f t="shared" si="33"/>
        <v>0.00%</v>
      </c>
      <c r="X73" s="2">
        <f t="shared" si="38"/>
        <v>0</v>
      </c>
      <c r="Y73" s="81" t="str">
        <f>TEXT('MYP Assumptions'!I72,"0.00%")&amp;", CPI"</f>
        <v>2.73%, CPI</v>
      </c>
      <c r="AA73" s="83" t="str">
        <f t="shared" si="34"/>
        <v>0.00%</v>
      </c>
      <c r="AB73" s="2">
        <f t="shared" si="39"/>
        <v>0</v>
      </c>
      <c r="AC73" s="81" t="str">
        <f>TEXT('MYP Assumptions'!J72,"0.00%")&amp;", CPI"</f>
        <v>2.73%, CPI</v>
      </c>
    </row>
    <row r="74" spans="1:29" hidden="1" x14ac:dyDescent="0.25">
      <c r="A74" s="153"/>
      <c r="B74" s="1326"/>
      <c r="D74" s="2">
        <v>0</v>
      </c>
      <c r="E74" s="1249"/>
      <c r="F74" s="2"/>
      <c r="G74" s="1527" t="str">
        <f t="shared" si="41"/>
        <v>0.00%</v>
      </c>
      <c r="H74" s="2">
        <f>ROUND(D74*(LEFT(I74,5)+1),0)</f>
        <v>0</v>
      </c>
      <c r="I74" s="1240" t="str">
        <f>TEXT('MYP Assumptions'!E72,"0.00%")&amp;", CPI"</f>
        <v>3.11%, CPI</v>
      </c>
      <c r="J74" s="66"/>
      <c r="K74" s="1527" t="str">
        <f t="shared" si="30"/>
        <v>0.00%</v>
      </c>
      <c r="L74" s="2">
        <f t="shared" si="35"/>
        <v>0</v>
      </c>
      <c r="M74" s="1240" t="str">
        <f>TEXT('MYP Assumptions'!F72,"0.00%")&amp;", CPI"</f>
        <v>3.19%, CPI</v>
      </c>
      <c r="O74" s="1527" t="str">
        <f t="shared" si="31"/>
        <v>0.00%</v>
      </c>
      <c r="P74" s="2">
        <f t="shared" si="36"/>
        <v>0</v>
      </c>
      <c r="Q74" s="1240" t="str">
        <f>TEXT('MYP Assumptions'!G72,"0.00%")&amp;", CPI"</f>
        <v>2.86%, CPI</v>
      </c>
      <c r="S74" s="83" t="str">
        <f t="shared" si="32"/>
        <v>0.00%</v>
      </c>
      <c r="T74" s="2">
        <f t="shared" si="37"/>
        <v>0</v>
      </c>
      <c r="U74" s="81" t="str">
        <f>TEXT('MYP Assumptions'!H72,"0.00%")&amp;", CPI"</f>
        <v>2.73%, CPI</v>
      </c>
      <c r="W74" s="83" t="str">
        <f t="shared" si="33"/>
        <v>0.00%</v>
      </c>
      <c r="X74" s="2">
        <f t="shared" si="38"/>
        <v>0</v>
      </c>
      <c r="Y74" s="81" t="str">
        <f>TEXT('MYP Assumptions'!I72,"0.00%")&amp;", CPI"</f>
        <v>2.73%, CPI</v>
      </c>
      <c r="AA74" s="83" t="str">
        <f t="shared" si="34"/>
        <v>0.00%</v>
      </c>
      <c r="AB74" s="2">
        <f t="shared" si="39"/>
        <v>0</v>
      </c>
      <c r="AC74" s="81" t="str">
        <f>TEXT('MYP Assumptions'!J72,"0.00%")&amp;", CPI"</f>
        <v>2.73%, CPI</v>
      </c>
    </row>
    <row r="75" spans="1:29" hidden="1" x14ac:dyDescent="0.25">
      <c r="A75" s="153"/>
      <c r="B75" s="1326"/>
      <c r="D75" s="2">
        <v>0</v>
      </c>
      <c r="E75" s="1249"/>
      <c r="F75" s="2"/>
      <c r="G75" s="1527" t="str">
        <f t="shared" si="41"/>
        <v>0.00%</v>
      </c>
      <c r="H75" s="2">
        <f>ROUND(D75*(LEFT(I75,5)+1),0)</f>
        <v>0</v>
      </c>
      <c r="I75" s="1240" t="str">
        <f>TEXT('MYP Assumptions'!E72,"0.00%")&amp;", CPI"</f>
        <v>3.11%, CPI</v>
      </c>
      <c r="J75" s="66"/>
      <c r="K75" s="1527" t="str">
        <f t="shared" si="30"/>
        <v>0.00%</v>
      </c>
      <c r="L75" s="2">
        <f t="shared" si="35"/>
        <v>0</v>
      </c>
      <c r="M75" s="1240" t="str">
        <f>TEXT('MYP Assumptions'!F72,"0.00%")&amp;", CPI"</f>
        <v>3.19%, CPI</v>
      </c>
      <c r="O75" s="1527" t="str">
        <f t="shared" si="31"/>
        <v>0.00%</v>
      </c>
      <c r="P75" s="2">
        <f t="shared" si="36"/>
        <v>0</v>
      </c>
      <c r="Q75" s="1240" t="str">
        <f>TEXT('MYP Assumptions'!G72,"0.00%")&amp;", CPI"</f>
        <v>2.86%, CPI</v>
      </c>
      <c r="S75" s="83" t="str">
        <f t="shared" si="32"/>
        <v>0.00%</v>
      </c>
      <c r="T75" s="2">
        <f t="shared" si="37"/>
        <v>0</v>
      </c>
      <c r="U75" s="81" t="str">
        <f>TEXT('MYP Assumptions'!H72,"0.00%")&amp;", CPI"</f>
        <v>2.73%, CPI</v>
      </c>
      <c r="W75" s="83" t="str">
        <f t="shared" si="33"/>
        <v>0.00%</v>
      </c>
      <c r="X75" s="2">
        <f t="shared" si="38"/>
        <v>0</v>
      </c>
      <c r="Y75" s="81" t="str">
        <f>TEXT('MYP Assumptions'!I72,"0.00%")&amp;", CPI"</f>
        <v>2.73%, CPI</v>
      </c>
      <c r="AA75" s="83" t="str">
        <f t="shared" si="34"/>
        <v>0.00%</v>
      </c>
      <c r="AB75" s="2">
        <f t="shared" si="39"/>
        <v>0</v>
      </c>
      <c r="AC75" s="81" t="str">
        <f>TEXT('MYP Assumptions'!J72,"0.00%")&amp;", CPI"</f>
        <v>2.73%, CPI</v>
      </c>
    </row>
    <row r="76" spans="1:29" hidden="1" x14ac:dyDescent="0.25">
      <c r="A76" s="153"/>
      <c r="B76" s="1326"/>
      <c r="D76" s="2">
        <v>0</v>
      </c>
      <c r="E76" s="1249"/>
      <c r="F76" s="2"/>
      <c r="G76" s="1527" t="str">
        <f t="shared" si="41"/>
        <v>0.00%</v>
      </c>
      <c r="H76" s="2">
        <f>ROUND(D76*(LEFT(I76,5)+1),0)</f>
        <v>0</v>
      </c>
      <c r="I76" s="1240" t="str">
        <f>TEXT('MYP Assumptions'!E72,"0.00%")&amp;", CPI"</f>
        <v>3.11%, CPI</v>
      </c>
      <c r="J76" s="66"/>
      <c r="K76" s="1527" t="str">
        <f t="shared" si="30"/>
        <v>0.00%</v>
      </c>
      <c r="L76" s="2">
        <f t="shared" si="35"/>
        <v>0</v>
      </c>
      <c r="M76" s="1240" t="str">
        <f>TEXT('MYP Assumptions'!F72,"0.00%")&amp;", CPI"</f>
        <v>3.19%, CPI</v>
      </c>
      <c r="O76" s="1527" t="str">
        <f t="shared" si="31"/>
        <v>0.00%</v>
      </c>
      <c r="P76" s="2">
        <f t="shared" si="36"/>
        <v>0</v>
      </c>
      <c r="Q76" s="1240" t="str">
        <f>TEXT('MYP Assumptions'!G72,"0.00%")&amp;", CPI"</f>
        <v>2.86%, CPI</v>
      </c>
      <c r="S76" s="83" t="str">
        <f t="shared" si="32"/>
        <v>0.00%</v>
      </c>
      <c r="T76" s="2">
        <f t="shared" si="37"/>
        <v>0</v>
      </c>
      <c r="U76" s="81" t="str">
        <f>TEXT('MYP Assumptions'!H72,"0.00%")&amp;", CPI"</f>
        <v>2.73%, CPI</v>
      </c>
      <c r="W76" s="83" t="str">
        <f t="shared" si="33"/>
        <v>0.00%</v>
      </c>
      <c r="X76" s="2">
        <f t="shared" si="38"/>
        <v>0</v>
      </c>
      <c r="Y76" s="81" t="str">
        <f>TEXT('MYP Assumptions'!I72,"0.00%")&amp;", CPI"</f>
        <v>2.73%, CPI</v>
      </c>
      <c r="AA76" s="83" t="str">
        <f t="shared" si="34"/>
        <v>0.00%</v>
      </c>
      <c r="AB76" s="2">
        <f t="shared" si="39"/>
        <v>0</v>
      </c>
      <c r="AC76" s="81" t="str">
        <f>TEXT('MYP Assumptions'!J72,"0.00%")&amp;", CPI"</f>
        <v>2.73%, CPI</v>
      </c>
    </row>
    <row r="77" spans="1:29" hidden="1" x14ac:dyDescent="0.25">
      <c r="A77" s="153"/>
      <c r="B77" s="1326"/>
      <c r="D77" s="2">
        <f>'RS 3010-ALL'!AF80</f>
        <v>0</v>
      </c>
      <c r="E77" s="1249"/>
      <c r="F77" s="2"/>
      <c r="G77" s="1527" t="str">
        <f t="shared" si="41"/>
        <v>0.00%</v>
      </c>
      <c r="H77" s="2">
        <f>ROUND(D77*(LEFT(I77,5)+1),0)</f>
        <v>0</v>
      </c>
      <c r="I77" s="1240" t="str">
        <f>TEXT('MYP Assumptions'!E72,"0.00%")&amp;", CPI"</f>
        <v>3.11%, CPI</v>
      </c>
      <c r="J77" s="66"/>
      <c r="K77" s="1527" t="str">
        <f t="shared" si="30"/>
        <v>0.00%</v>
      </c>
      <c r="L77" s="2">
        <f t="shared" si="35"/>
        <v>0</v>
      </c>
      <c r="M77" s="1240" t="str">
        <f>TEXT('MYP Assumptions'!F72,"0.00%")&amp;", CPI"</f>
        <v>3.19%, CPI</v>
      </c>
      <c r="O77" s="1527" t="str">
        <f t="shared" si="31"/>
        <v>0.00%</v>
      </c>
      <c r="P77" s="2">
        <f t="shared" si="36"/>
        <v>0</v>
      </c>
      <c r="Q77" s="1240" t="str">
        <f>TEXT('MYP Assumptions'!G72,"0.00%")&amp;", CPI"</f>
        <v>2.86%, CPI</v>
      </c>
      <c r="S77" s="83" t="str">
        <f t="shared" si="32"/>
        <v>0.00%</v>
      </c>
      <c r="T77" s="2">
        <f t="shared" si="37"/>
        <v>0</v>
      </c>
      <c r="U77" s="81" t="str">
        <f>TEXT('MYP Assumptions'!H72,"0.00%")&amp;", CPI"</f>
        <v>2.73%, CPI</v>
      </c>
      <c r="W77" s="83" t="str">
        <f t="shared" si="33"/>
        <v>0.00%</v>
      </c>
      <c r="X77" s="2">
        <f t="shared" si="38"/>
        <v>0</v>
      </c>
      <c r="Y77" s="81" t="str">
        <f>TEXT('MYP Assumptions'!I72,"0.00%")&amp;", CPI"</f>
        <v>2.73%, CPI</v>
      </c>
      <c r="AA77" s="83" t="str">
        <f t="shared" si="34"/>
        <v>0.00%</v>
      </c>
      <c r="AB77" s="2">
        <f t="shared" si="39"/>
        <v>0</v>
      </c>
      <c r="AC77" s="81" t="str">
        <f>TEXT('MYP Assumptions'!J72,"0.00%")&amp;", CPI"</f>
        <v>2.73%, CPI</v>
      </c>
    </row>
    <row r="78" spans="1:29" x14ac:dyDescent="0.25">
      <c r="A78" s="154"/>
      <c r="D78" s="8">
        <f>SUM(D65:D77)</f>
        <v>0</v>
      </c>
      <c r="E78" s="1249"/>
      <c r="F78" s="2"/>
      <c r="G78" s="1527" t="str">
        <f t="shared" si="41"/>
        <v>0.00%</v>
      </c>
      <c r="H78" s="8">
        <f>SUM(H65:H77)</f>
        <v>0</v>
      </c>
      <c r="I78" s="1258"/>
      <c r="J78" s="29"/>
      <c r="K78" s="1527" t="str">
        <f t="shared" si="30"/>
        <v>0.00%</v>
      </c>
      <c r="L78" s="8">
        <f>SUM(L65:L77)</f>
        <v>0</v>
      </c>
      <c r="M78" s="1335"/>
      <c r="O78" s="1527" t="str">
        <f t="shared" si="31"/>
        <v>0.00%</v>
      </c>
      <c r="P78" s="8">
        <f>SUM(P65:P77)</f>
        <v>0</v>
      </c>
      <c r="Q78" s="1335"/>
      <c r="S78" s="83" t="str">
        <f t="shared" si="32"/>
        <v>0.00%</v>
      </c>
      <c r="T78" s="8">
        <f>SUM(T65:T77)</f>
        <v>0</v>
      </c>
      <c r="U78" s="73"/>
      <c r="W78" s="83" t="str">
        <f t="shared" si="33"/>
        <v>0.00%</v>
      </c>
      <c r="X78" s="8">
        <f>SUM(X65:X77)</f>
        <v>0</v>
      </c>
      <c r="Y78" s="73"/>
      <c r="AA78" s="83" t="str">
        <f t="shared" si="34"/>
        <v>0.00%</v>
      </c>
      <c r="AB78" s="8">
        <f>SUM(AB65:AB77)</f>
        <v>0</v>
      </c>
      <c r="AC78" s="73"/>
    </row>
    <row r="79" spans="1:29" x14ac:dyDescent="0.25">
      <c r="A79" s="153"/>
      <c r="B79" s="1323"/>
      <c r="E79" s="1249"/>
      <c r="F79" s="2"/>
      <c r="G79" s="1527"/>
      <c r="H79" s="2"/>
      <c r="I79" s="1257"/>
      <c r="J79" s="66"/>
      <c r="L79" s="2"/>
      <c r="M79" s="1335"/>
      <c r="Q79" s="1335"/>
      <c r="T79" s="2"/>
      <c r="U79" s="73"/>
      <c r="X79" s="2"/>
      <c r="Y79" s="73"/>
      <c r="AB79" s="2"/>
      <c r="AC79" s="73"/>
    </row>
    <row r="80" spans="1:29" x14ac:dyDescent="0.25">
      <c r="A80" s="153"/>
      <c r="E80" s="1249"/>
      <c r="F80" s="2"/>
      <c r="H80" s="2"/>
      <c r="I80" s="1257"/>
      <c r="J80" s="66"/>
      <c r="L80" s="2"/>
      <c r="M80" s="1335"/>
      <c r="Q80" s="1335"/>
      <c r="T80" s="2"/>
      <c r="U80" s="73"/>
      <c r="X80" s="2"/>
      <c r="Y80" s="73"/>
      <c r="AB80" s="2"/>
      <c r="AC80" s="73"/>
    </row>
    <row r="81" spans="1:29" x14ac:dyDescent="0.25">
      <c r="A81" s="154"/>
      <c r="B81" s="1323" t="s">
        <v>0</v>
      </c>
      <c r="D81" s="8">
        <f>SUM(D78,D62,D55,D13)</f>
        <v>654258</v>
      </c>
      <c r="E81" s="1249"/>
      <c r="F81" s="2"/>
      <c r="G81" s="1527">
        <f>IF(D81=0,"0.00%",(H81-D81)/D81)</f>
        <v>1.4687447459564882</v>
      </c>
      <c r="H81" s="8">
        <f>SUM(H78,H62,H55,H13)</f>
        <v>1615196</v>
      </c>
      <c r="I81" s="1882">
        <f>+H81-D81</f>
        <v>960938</v>
      </c>
      <c r="J81" s="29"/>
      <c r="K81" s="1527">
        <f>IF(H81=0,"0.00%",(L81-H81)/H81)</f>
        <v>-0.74751604139683347</v>
      </c>
      <c r="L81" s="8">
        <f>SUM(L78,L62,L55,L13)</f>
        <v>407811.08000000007</v>
      </c>
      <c r="M81" s="1882">
        <f>+L81-H81</f>
        <v>-1207384.92</v>
      </c>
      <c r="O81" s="1527">
        <f>IF(L81=0,"0.00%",(P81-L81)/L81)</f>
        <v>-0.10468837678466232</v>
      </c>
      <c r="P81" s="8">
        <f>SUM(P78,P62,P55,P13)</f>
        <v>365118</v>
      </c>
      <c r="Q81" s="1882">
        <f>+P81-L81</f>
        <v>-42693.080000000075</v>
      </c>
      <c r="S81" s="83" t="e">
        <f>IF(P81=0,"0.00%",(T81-P81)/P81)</f>
        <v>#VALUE!</v>
      </c>
      <c r="T81" s="8" t="e">
        <f>SUM(T78,T62,T55,T13)</f>
        <v>#VALUE!</v>
      </c>
      <c r="U81" s="73"/>
      <c r="W81" s="83" t="e">
        <f>IF(T81=0,"0.00%",(X81-T81)/T81)</f>
        <v>#VALUE!</v>
      </c>
      <c r="X81" s="8" t="e">
        <f>SUM(X78,X62,X55,X13)</f>
        <v>#VALUE!</v>
      </c>
      <c r="Y81" s="73"/>
      <c r="AA81" s="83" t="e">
        <f>IF(X81=0,"0.00%",(AB81-X81)/X81)</f>
        <v>#VALUE!</v>
      </c>
      <c r="AB81" s="8" t="e">
        <f>SUM(AB78,AB62,AB55,AB13)</f>
        <v>#VALUE!</v>
      </c>
      <c r="AC81" s="73"/>
    </row>
    <row r="82" spans="1:29" x14ac:dyDescent="0.25">
      <c r="A82" s="153"/>
      <c r="E82" s="1249"/>
      <c r="F82" s="2"/>
      <c r="H82" s="2"/>
      <c r="I82" s="1257"/>
      <c r="J82" s="66"/>
      <c r="L82" s="2"/>
      <c r="M82" s="1335"/>
      <c r="Q82" s="1335"/>
      <c r="T82" s="2"/>
      <c r="U82" s="73"/>
      <c r="X82" s="2"/>
      <c r="Y82" s="73"/>
      <c r="AB82" s="2"/>
      <c r="AC82" s="73"/>
    </row>
    <row r="83" spans="1:29" x14ac:dyDescent="0.25">
      <c r="A83" s="153"/>
      <c r="B83" s="1323" t="s">
        <v>138</v>
      </c>
      <c r="D83" s="3">
        <f>D11-D81</f>
        <v>-309061</v>
      </c>
      <c r="G83" s="1527">
        <f>IF(D83=0,"0.00%",(H83-D83)/D83)</f>
        <v>3.0961784243240009</v>
      </c>
      <c r="H83" s="3">
        <f>H11-H81</f>
        <v>-1265969</v>
      </c>
      <c r="I83" s="1257"/>
      <c r="J83" s="66"/>
      <c r="K83" s="1527">
        <f>IF(H83=0,"0.00%",(L83-H83)/H83)</f>
        <v>-0.95965455710210912</v>
      </c>
      <c r="L83" s="3">
        <f>L11-L81</f>
        <v>-51076.080000000075</v>
      </c>
      <c r="M83" s="1335"/>
      <c r="O83" s="1527">
        <f>IF(L83=0,"0.00%",(P83-L83)/L83)</f>
        <v>-1</v>
      </c>
      <c r="P83" s="3">
        <f>P11-P81</f>
        <v>0</v>
      </c>
      <c r="Q83" s="1335"/>
      <c r="S83" s="83" t="str">
        <f>IF(P83=0,"0.00%",(T83-P83)/P83)</f>
        <v>0.00%</v>
      </c>
      <c r="T83" s="3" t="e">
        <f>T11-T81</f>
        <v>#VALUE!</v>
      </c>
      <c r="U83" s="73"/>
      <c r="W83" s="83" t="e">
        <f>IF(T83=0,"0.00%",(X83-T83)/T83)</f>
        <v>#VALUE!</v>
      </c>
      <c r="X83" s="3" t="e">
        <f>X11-X81</f>
        <v>#VALUE!</v>
      </c>
      <c r="Y83" s="73"/>
      <c r="AA83" s="83" t="e">
        <f>IF(X83=0,"0.00%",(AB83-X83)/X83)</f>
        <v>#VALUE!</v>
      </c>
      <c r="AB83" s="3" t="e">
        <f>AB11-AB81</f>
        <v>#VALUE!</v>
      </c>
      <c r="AC83" s="73"/>
    </row>
    <row r="84" spans="1:29" x14ac:dyDescent="0.25">
      <c r="B84" s="1323"/>
      <c r="C84" s="1317"/>
      <c r="D84" s="3"/>
      <c r="H84" s="3"/>
      <c r="I84" s="1257"/>
      <c r="J84" s="66"/>
      <c r="L84" s="3"/>
      <c r="M84" s="1335"/>
      <c r="P84" s="3"/>
      <c r="Q84" s="1335"/>
      <c r="T84" s="44"/>
      <c r="U84" s="73"/>
      <c r="X84" s="44"/>
      <c r="Y84" s="73"/>
      <c r="AB84" s="44"/>
      <c r="AC84" s="73"/>
    </row>
    <row r="85" spans="1:29" x14ac:dyDescent="0.25">
      <c r="B85" s="1323" t="s">
        <v>136</v>
      </c>
      <c r="C85" s="1319"/>
      <c r="D85" s="3">
        <f>D7+D83</f>
        <v>1317045.08</v>
      </c>
      <c r="G85" s="1527">
        <f>IF(D85=0,"0.00%",(H85-D85)/D85)</f>
        <v>-0.96121918621039149</v>
      </c>
      <c r="H85" s="3">
        <f>H7+H83</f>
        <v>51076.080000000075</v>
      </c>
      <c r="I85" s="1882">
        <f>+H85-D85</f>
        <v>-1265969</v>
      </c>
      <c r="J85" s="66"/>
      <c r="K85" s="1527">
        <f>IF(H85=0,"0.00%",(L85-H85)/H85)</f>
        <v>-1</v>
      </c>
      <c r="L85" s="3">
        <f>L7+L83</f>
        <v>0</v>
      </c>
      <c r="M85" s="1882">
        <f>+L85-H85</f>
        <v>-51076.080000000075</v>
      </c>
      <c r="O85" s="1527" t="str">
        <f>IF(L85=0,"0.00%",(P85-L85)/L85)</f>
        <v>0.00%</v>
      </c>
      <c r="P85" s="3">
        <f>P7+P83</f>
        <v>0</v>
      </c>
      <c r="Q85" s="1882">
        <f>+P85-L85</f>
        <v>0</v>
      </c>
      <c r="S85" s="83" t="str">
        <f>IF(P85=0,"0.00%",(T85-P85)/P85)</f>
        <v>0.00%</v>
      </c>
      <c r="T85" s="49" t="e">
        <f>T7+T83</f>
        <v>#VALUE!</v>
      </c>
      <c r="U85" s="73"/>
      <c r="W85" s="83" t="e">
        <f>IF(T85=0,"0.00%",(X85-T85)/T85)</f>
        <v>#VALUE!</v>
      </c>
      <c r="X85" s="49" t="e">
        <f>X7+X83</f>
        <v>#VALUE!</v>
      </c>
      <c r="Y85" s="73"/>
      <c r="AA85" s="83" t="e">
        <f>IF(X85=0,"0.00%",(AB85-X85)/X85)</f>
        <v>#VALUE!</v>
      </c>
      <c r="AB85" s="49" t="e">
        <f>AB7+AB83</f>
        <v>#VALUE!</v>
      </c>
      <c r="AC85" s="73"/>
    </row>
    <row r="86" spans="1:29" x14ac:dyDescent="0.25">
      <c r="C86" s="1259"/>
      <c r="G86" s="1540"/>
      <c r="H86" s="5"/>
      <c r="I86" s="1258"/>
      <c r="J86" s="29"/>
      <c r="L86" s="5"/>
      <c r="M86" s="1335"/>
      <c r="P86" s="5"/>
      <c r="Q86" s="1335"/>
      <c r="T86" s="5"/>
      <c r="U86" s="73"/>
      <c r="X86" s="5"/>
      <c r="Y86" s="73"/>
      <c r="AB86" s="5"/>
      <c r="AC86" s="73"/>
    </row>
    <row r="87" spans="1:29" x14ac:dyDescent="0.25">
      <c r="C87" s="1254"/>
      <c r="G87" s="1540"/>
      <c r="H87" s="36"/>
      <c r="I87" s="1257"/>
      <c r="J87" s="66"/>
      <c r="L87" s="2"/>
      <c r="M87" s="1335"/>
      <c r="Q87" s="1335"/>
      <c r="T87" s="2"/>
      <c r="U87" s="73"/>
      <c r="X87" s="2"/>
      <c r="Y87" s="73"/>
      <c r="AB87" s="2"/>
      <c r="AC87" s="73"/>
    </row>
    <row r="88" spans="1:29" x14ac:dyDescent="0.25">
      <c r="C88" s="1254"/>
      <c r="G88" s="1540"/>
      <c r="H88" s="36"/>
      <c r="I88" s="1257"/>
      <c r="J88" s="66"/>
      <c r="L88" s="2"/>
      <c r="M88" s="1335"/>
      <c r="Q88" s="1335"/>
      <c r="T88" s="2"/>
      <c r="U88" s="73"/>
      <c r="X88" s="2"/>
      <c r="Y88" s="73"/>
      <c r="AB88" s="2"/>
      <c r="AC88" s="73"/>
    </row>
    <row r="89" spans="1:29" x14ac:dyDescent="0.25">
      <c r="C89" s="1254"/>
      <c r="G89" s="1540"/>
      <c r="H89" s="36"/>
      <c r="I89" s="1257"/>
      <c r="J89" s="66"/>
      <c r="L89" s="2"/>
      <c r="M89" s="1335"/>
      <c r="Q89" s="1335"/>
      <c r="T89" s="2"/>
      <c r="U89" s="73"/>
      <c r="X89" s="2"/>
      <c r="Y89" s="73"/>
      <c r="AB89" s="2"/>
      <c r="AC89" s="73"/>
    </row>
    <row r="90" spans="1:29" x14ac:dyDescent="0.25">
      <c r="C90" s="1254"/>
      <c r="G90" s="1540"/>
      <c r="H90" s="36"/>
      <c r="I90" s="1257"/>
      <c r="J90" s="66"/>
      <c r="L90" s="2"/>
      <c r="M90" s="1335"/>
      <c r="Q90" s="1335"/>
      <c r="T90" s="2"/>
      <c r="U90" s="73"/>
      <c r="X90" s="2"/>
      <c r="Y90" s="73"/>
      <c r="AB90" s="2"/>
      <c r="AC90" s="73"/>
    </row>
    <row r="91" spans="1:29" s="138" customFormat="1" ht="11.25" x14ac:dyDescent="0.2">
      <c r="A91" s="157"/>
      <c r="B91" s="1329"/>
      <c r="C91" s="1330" t="s">
        <v>226</v>
      </c>
      <c r="D91" s="135">
        <f>+D78+D62+D53+D41+D30</f>
        <v>654258</v>
      </c>
      <c r="E91" s="1251"/>
      <c r="G91" s="1541" t="s">
        <v>226</v>
      </c>
      <c r="H91" s="135">
        <f>+H78+H62+H53+H41+H30</f>
        <v>1615196</v>
      </c>
      <c r="I91" s="1260"/>
      <c r="J91" s="136"/>
      <c r="K91" s="1541" t="s">
        <v>226</v>
      </c>
      <c r="L91" s="135">
        <f>+L78+L62+L53+L41+L30</f>
        <v>407811.08000000007</v>
      </c>
      <c r="M91" s="1338"/>
      <c r="O91" s="1541" t="s">
        <v>226</v>
      </c>
      <c r="P91" s="135">
        <f>+P78+P62+P53+P41+P30</f>
        <v>365118</v>
      </c>
      <c r="Q91" s="1338"/>
      <c r="R91" s="140"/>
      <c r="S91" s="134" t="s">
        <v>226</v>
      </c>
      <c r="T91" s="135" t="e">
        <f>+T78+T62+T53+T41+T30</f>
        <v>#VALUE!</v>
      </c>
      <c r="U91" s="139"/>
      <c r="W91" s="134" t="s">
        <v>226</v>
      </c>
      <c r="X91" s="135" t="e">
        <f>+X78+X62+X53+X41+X30</f>
        <v>#VALUE!</v>
      </c>
      <c r="Y91" s="139"/>
      <c r="AA91" s="134" t="s">
        <v>226</v>
      </c>
      <c r="AB91" s="135" t="e">
        <f>+AB78+AB62+AB53+AB41+AB30</f>
        <v>#VALUE!</v>
      </c>
      <c r="AC91" s="139"/>
    </row>
    <row r="92" spans="1:29" s="138" customFormat="1" ht="11.25" x14ac:dyDescent="0.2">
      <c r="A92" s="159"/>
      <c r="B92" s="1329"/>
      <c r="C92" s="1331" t="s">
        <v>227</v>
      </c>
      <c r="D92" s="143">
        <f>+D13</f>
        <v>0</v>
      </c>
      <c r="E92" s="1252"/>
      <c r="F92" s="145"/>
      <c r="G92" s="1546" t="s">
        <v>227</v>
      </c>
      <c r="H92" s="143">
        <f>+H13</f>
        <v>0</v>
      </c>
      <c r="I92" s="1261"/>
      <c r="J92" s="144"/>
      <c r="K92" s="1546" t="s">
        <v>227</v>
      </c>
      <c r="L92" s="143">
        <f>+L13</f>
        <v>0</v>
      </c>
      <c r="M92" s="1338"/>
      <c r="O92" s="1546" t="s">
        <v>227</v>
      </c>
      <c r="P92" s="143">
        <f>+P13</f>
        <v>0</v>
      </c>
      <c r="Q92" s="1251"/>
      <c r="R92" s="140"/>
      <c r="S92" s="142" t="s">
        <v>227</v>
      </c>
      <c r="T92" s="143">
        <f>+T13</f>
        <v>0</v>
      </c>
      <c r="W92" s="142" t="s">
        <v>227</v>
      </c>
      <c r="X92" s="143">
        <f>+X13</f>
        <v>0</v>
      </c>
      <c r="AA92" s="142" t="s">
        <v>227</v>
      </c>
      <c r="AB92" s="143">
        <f>+AB13</f>
        <v>0</v>
      </c>
    </row>
    <row r="93" spans="1:29" s="138" customFormat="1" ht="11.25" x14ac:dyDescent="0.2">
      <c r="A93" s="159"/>
      <c r="B93" s="1329"/>
      <c r="C93" s="1331"/>
      <c r="D93" s="146">
        <f>+D91+D92</f>
        <v>654258</v>
      </c>
      <c r="E93" s="1252"/>
      <c r="F93" s="145"/>
      <c r="G93" s="1546"/>
      <c r="H93" s="146">
        <f>+H91+H92</f>
        <v>1615196</v>
      </c>
      <c r="I93" s="1261"/>
      <c r="J93" s="144"/>
      <c r="K93" s="1546"/>
      <c r="L93" s="146">
        <f>+L91+L92</f>
        <v>407811.08000000007</v>
      </c>
      <c r="M93" s="1251"/>
      <c r="O93" s="1546"/>
      <c r="P93" s="146">
        <f>+P91+P92</f>
        <v>365118</v>
      </c>
      <c r="Q93" s="1251"/>
      <c r="R93" s="140"/>
      <c r="S93" s="142"/>
      <c r="T93" s="146" t="e">
        <f>+T91+T92</f>
        <v>#VALUE!</v>
      </c>
      <c r="W93" s="142"/>
      <c r="X93" s="146" t="e">
        <f>+X91+X92</f>
        <v>#VALUE!</v>
      </c>
      <c r="AA93" s="142"/>
      <c r="AB93" s="146" t="e">
        <f>+AB91+AB92</f>
        <v>#VALUE!</v>
      </c>
    </row>
    <row r="94" spans="1:29" ht="15" customHeight="1" x14ac:dyDescent="0.25">
      <c r="A94" s="153"/>
      <c r="B94" s="1332"/>
      <c r="C94" s="1332"/>
      <c r="D94" s="5">
        <f>+D81-D93</f>
        <v>0</v>
      </c>
      <c r="E94" s="1249"/>
      <c r="F94" s="2"/>
      <c r="G94" s="1543"/>
      <c r="H94" s="5">
        <f>+H81-H93</f>
        <v>0</v>
      </c>
      <c r="K94" s="1543"/>
      <c r="L94" s="5">
        <f>+L81-L93</f>
        <v>0</v>
      </c>
      <c r="O94" s="1543"/>
      <c r="P94" s="5">
        <f>+P81-P93</f>
        <v>0</v>
      </c>
      <c r="S94" s="103"/>
      <c r="T94" s="5" t="e">
        <f>+T81-T93</f>
        <v>#VALUE!</v>
      </c>
      <c r="W94" s="103"/>
      <c r="X94" s="5" t="e">
        <f>+X81-X93</f>
        <v>#VALUE!</v>
      </c>
      <c r="AA94" s="103"/>
      <c r="AB94" s="5" t="e">
        <f>+AB81-AB93</f>
        <v>#VALUE!</v>
      </c>
    </row>
    <row r="95" spans="1:29" x14ac:dyDescent="0.25">
      <c r="A95" s="153"/>
      <c r="B95" s="1332"/>
      <c r="C95" s="1332"/>
      <c r="D95" s="36"/>
      <c r="E95" s="1249"/>
      <c r="F95" s="2"/>
    </row>
    <row r="96" spans="1:29" x14ac:dyDescent="0.25">
      <c r="A96" s="153"/>
      <c r="B96" s="1319"/>
      <c r="C96" s="1254"/>
      <c r="D96" s="25"/>
      <c r="E96" s="1249"/>
      <c r="F96" s="2"/>
    </row>
    <row r="97" spans="2:4" x14ac:dyDescent="0.25">
      <c r="B97" s="1319"/>
      <c r="C97" s="1254"/>
      <c r="D97" s="36"/>
    </row>
    <row r="98" spans="2:4" x14ac:dyDescent="0.25">
      <c r="B98" s="1319"/>
      <c r="C98" s="1254"/>
      <c r="D98" s="36"/>
    </row>
    <row r="99" spans="2:4" ht="15" customHeight="1" x14ac:dyDescent="0.25">
      <c r="B99" s="1319"/>
      <c r="C99" s="1254"/>
      <c r="D99" s="36"/>
    </row>
    <row r="100" spans="2:4" x14ac:dyDescent="0.25">
      <c r="B100" s="1319"/>
      <c r="C100" s="1254"/>
      <c r="D100" s="36"/>
    </row>
    <row r="101" spans="2:4" x14ac:dyDescent="0.25">
      <c r="B101" s="1319"/>
      <c r="C101" s="1254"/>
      <c r="D101" s="36"/>
    </row>
    <row r="102" spans="2:4" ht="15" customHeight="1" x14ac:dyDescent="0.25">
      <c r="B102" s="2151"/>
      <c r="C102" s="2151"/>
      <c r="D102" s="36"/>
    </row>
    <row r="103" spans="2:4" x14ac:dyDescent="0.25">
      <c r="B103" s="2151"/>
      <c r="C103" s="2151"/>
      <c r="D103" s="36"/>
    </row>
    <row r="104" spans="2:4" x14ac:dyDescent="0.25">
      <c r="B104" s="1319"/>
      <c r="C104" s="1254"/>
      <c r="D104" s="6"/>
    </row>
    <row r="105" spans="2:4" x14ac:dyDescent="0.25">
      <c r="B105" s="1319"/>
      <c r="C105" s="1254"/>
      <c r="D105" s="36"/>
    </row>
    <row r="106" spans="2:4" x14ac:dyDescent="0.25">
      <c r="B106" s="1319"/>
      <c r="C106" s="1254"/>
      <c r="D106" s="36"/>
    </row>
    <row r="107" spans="2:4" ht="28.5" customHeight="1" x14ac:dyDescent="0.25">
      <c r="B107" s="1319"/>
      <c r="C107" s="1254"/>
      <c r="D107" s="25"/>
    </row>
    <row r="108" spans="2:4" x14ac:dyDescent="0.25">
      <c r="B108" s="1319"/>
      <c r="C108" s="1254"/>
      <c r="D108" s="36"/>
    </row>
    <row r="109" spans="2:4" x14ac:dyDescent="0.25">
      <c r="B109" s="1319"/>
      <c r="C109" s="1254"/>
      <c r="D109" s="36"/>
    </row>
    <row r="110" spans="2:4" x14ac:dyDescent="0.25">
      <c r="B110" s="1319"/>
      <c r="C110" s="1254"/>
      <c r="D110" s="36"/>
    </row>
    <row r="111" spans="2:4" x14ac:dyDescent="0.25">
      <c r="B111" s="1319"/>
      <c r="C111" s="1254"/>
      <c r="D111" s="36"/>
    </row>
    <row r="112" spans="2:4"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sheetData>
  <mergeCells count="1">
    <mergeCell ref="B102:C103"/>
  </mergeCells>
  <pageMargins left="0.25" right="0.25" top="0.5" bottom="0.5" header="0.25" footer="0.25"/>
  <pageSetup paperSize="5" scale="73" orientation="portrait" r:id="rId1"/>
  <headerFooter>
    <oddHeader>&amp;L&amp;F</oddHeader>
    <oddFooter>&amp;R&amp;A</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55"/>
  <sheetViews>
    <sheetView topLeftCell="A19" zoomScale="115" zoomScaleNormal="115" workbookViewId="0">
      <pane xSplit="3765" ySplit="1080" activePane="bottomRight"/>
      <selection activeCell="S3" sqref="S3"/>
      <selection pane="topRight" activeCell="S19" sqref="S19"/>
      <selection pane="bottomLeft" activeCell="A92" sqref="A92"/>
      <selection pane="bottomRight" activeCell="D12" sqref="D12"/>
    </sheetView>
  </sheetViews>
  <sheetFormatPr defaultRowHeight="15" x14ac:dyDescent="0.25"/>
  <cols>
    <col min="1" max="1" width="8.5703125" style="37" customWidth="1"/>
    <col min="2" max="2" width="18.42578125" style="2" customWidth="1"/>
    <col min="3" max="3" width="16" style="3" customWidth="1"/>
    <col min="4" max="4" width="53.42578125" style="30" customWidth="1"/>
    <col min="5" max="5" width="16" style="2" customWidth="1"/>
    <col min="6" max="6" width="32.5703125" style="2" customWidth="1"/>
    <col min="7" max="7" width="16" style="2" customWidth="1"/>
    <col min="8" max="8" width="40.42578125" style="2" bestFit="1" customWidth="1"/>
    <col min="9" max="9" width="16" style="162" customWidth="1"/>
    <col min="10" max="10" width="26.7109375" style="2" bestFit="1" customWidth="1"/>
    <col min="11" max="11" width="16" style="2" customWidth="1"/>
    <col min="12" max="12" width="40.42578125" style="2" bestFit="1" customWidth="1"/>
    <col min="13" max="13" width="16" style="2" customWidth="1"/>
    <col min="14" max="14" width="26.7109375" style="2" bestFit="1" customWidth="1"/>
    <col min="15" max="15" width="16" style="2" customWidth="1"/>
    <col min="16" max="16" width="40.42578125" style="2" bestFit="1" customWidth="1"/>
    <col min="17" max="17" width="16" style="2" customWidth="1"/>
    <col min="18" max="18" width="54.140625" style="2" bestFit="1" customWidth="1"/>
    <col min="19" max="19" width="16" style="162" customWidth="1"/>
    <col min="20" max="20" width="47.5703125" style="2" bestFit="1" customWidth="1"/>
    <col min="21" max="21" width="16" style="2" customWidth="1"/>
    <col min="22" max="22" width="47.5703125" style="2" bestFit="1" customWidth="1"/>
    <col min="23" max="23" width="16" style="162" customWidth="1"/>
    <col min="24" max="24" width="47.5703125" style="2" bestFit="1" customWidth="1"/>
    <col min="25" max="25" width="16" style="2" customWidth="1"/>
    <col min="26" max="26" width="26.7109375" style="2" bestFit="1" customWidth="1"/>
    <col min="27" max="27" width="16" style="2" customWidth="1"/>
    <col min="28" max="28" width="47.5703125" style="2" bestFit="1" customWidth="1"/>
    <col min="29" max="29" width="4.140625" style="108" customWidth="1"/>
    <col min="30" max="30" width="8.5703125" style="37" customWidth="1"/>
    <col min="31" max="31" width="18.28515625" style="2" customWidth="1"/>
    <col min="32" max="32" width="16" style="2" customWidth="1"/>
    <col min="33" max="33" width="37.140625" style="2" bestFit="1" customWidth="1"/>
    <col min="34" max="34" width="23.85546875" style="2" bestFit="1" customWidth="1"/>
    <col min="35" max="16384" width="9.140625" style="2"/>
  </cols>
  <sheetData>
    <row r="1" spans="1:32" x14ac:dyDescent="0.25">
      <c r="A1" s="37" t="s">
        <v>61</v>
      </c>
      <c r="B1" s="17" t="s">
        <v>60</v>
      </c>
      <c r="C1" s="379"/>
      <c r="D1" s="380" t="s">
        <v>59</v>
      </c>
      <c r="E1" s="381">
        <v>3010</v>
      </c>
      <c r="AD1" s="382"/>
      <c r="AE1" s="36"/>
    </row>
    <row r="2" spans="1:32" x14ac:dyDescent="0.25">
      <c r="A2" s="37" t="s">
        <v>58</v>
      </c>
      <c r="B2" s="17" t="s">
        <v>57</v>
      </c>
      <c r="C2" s="379"/>
      <c r="AE2" s="36"/>
    </row>
    <row r="3" spans="1:32" ht="5.25" customHeight="1" x14ac:dyDescent="0.25"/>
    <row r="4" spans="1:32" ht="5.25" customHeight="1" x14ac:dyDescent="0.25"/>
    <row r="5" spans="1:32" ht="5.25" customHeight="1" x14ac:dyDescent="0.25"/>
    <row r="6" spans="1:32" s="384" customFormat="1" ht="15.75" x14ac:dyDescent="0.25">
      <c r="A6" s="499" t="s">
        <v>55</v>
      </c>
      <c r="B6" s="499"/>
      <c r="C6" s="499"/>
      <c r="D6" s="499"/>
      <c r="E6" s="499" t="s">
        <v>55</v>
      </c>
      <c r="F6" s="499"/>
      <c r="G6" s="499"/>
      <c r="H6" s="2154" t="s">
        <v>55</v>
      </c>
      <c r="I6" s="2154"/>
      <c r="J6" s="2154"/>
      <c r="K6" s="2154"/>
      <c r="L6" s="2154"/>
      <c r="M6" s="2154"/>
      <c r="N6" s="2154"/>
      <c r="O6" s="2154" t="s">
        <v>55</v>
      </c>
      <c r="P6" s="2154"/>
      <c r="Q6" s="2154"/>
      <c r="R6" s="2154"/>
      <c r="S6" s="2154"/>
      <c r="T6" s="2154"/>
      <c r="U6" s="2154"/>
      <c r="V6" s="2154" t="s">
        <v>55</v>
      </c>
      <c r="W6" s="2154"/>
      <c r="X6" s="2154"/>
      <c r="Y6" s="2154"/>
      <c r="Z6" s="2154"/>
      <c r="AA6" s="2154"/>
      <c r="AB6" s="2154"/>
      <c r="AC6" s="383"/>
      <c r="AF6" s="385" t="s">
        <v>55</v>
      </c>
    </row>
    <row r="7" spans="1:32" x14ac:dyDescent="0.25">
      <c r="A7" s="127" t="s">
        <v>54</v>
      </c>
      <c r="C7" s="3">
        <v>0</v>
      </c>
      <c r="AD7" s="127" t="str">
        <f>A7</f>
        <v>Beginning Balance</v>
      </c>
      <c r="AF7" s="2">
        <f>C7</f>
        <v>0</v>
      </c>
    </row>
    <row r="8" spans="1:32" x14ac:dyDescent="0.25">
      <c r="D8" s="37" t="s">
        <v>113</v>
      </c>
      <c r="E8" s="3">
        <v>1962443</v>
      </c>
      <c r="G8" s="37" t="s">
        <v>112</v>
      </c>
    </row>
    <row r="9" spans="1:32" x14ac:dyDescent="0.25">
      <c r="A9" s="37" t="s">
        <v>52</v>
      </c>
      <c r="B9" s="2" t="s">
        <v>53</v>
      </c>
      <c r="C9" s="3">
        <f>+E10</f>
        <v>1668077</v>
      </c>
      <c r="D9" s="37" t="s">
        <v>111</v>
      </c>
      <c r="E9" s="2">
        <f>ROUND(+E8*0.15,0)</f>
        <v>294366</v>
      </c>
      <c r="F9" s="131" t="s">
        <v>62</v>
      </c>
      <c r="G9" s="2">
        <v>400423.37</v>
      </c>
      <c r="AD9" s="127" t="str">
        <f>A9</f>
        <v>Revenue</v>
      </c>
      <c r="AE9" s="2" t="str">
        <f>B9</f>
        <v xml:space="preserve">Current Year </v>
      </c>
      <c r="AF9" s="2">
        <f>C9</f>
        <v>1668077</v>
      </c>
    </row>
    <row r="10" spans="1:32" x14ac:dyDescent="0.25">
      <c r="B10" s="2" t="s">
        <v>51</v>
      </c>
      <c r="C10" s="3">
        <v>1062358.3700000001</v>
      </c>
      <c r="E10" s="161">
        <f>+E8-E9</f>
        <v>1668077</v>
      </c>
      <c r="F10" s="131" t="s">
        <v>62</v>
      </c>
      <c r="G10" s="2">
        <v>449954</v>
      </c>
      <c r="AE10" s="2" t="str">
        <f>B10</f>
        <v>Prior Carryover</v>
      </c>
      <c r="AF10" s="2">
        <f>C10</f>
        <v>1062358.3700000001</v>
      </c>
    </row>
    <row r="11" spans="1:32" x14ac:dyDescent="0.25">
      <c r="A11" s="127" t="s">
        <v>137</v>
      </c>
      <c r="C11" s="24">
        <f>SUM(C9:C10)</f>
        <v>2730435.37</v>
      </c>
      <c r="F11" s="131" t="s">
        <v>63</v>
      </c>
      <c r="G11" s="17">
        <v>211981</v>
      </c>
      <c r="AD11" s="127" t="str">
        <f>A11</f>
        <v>TOTAL REVENUE</v>
      </c>
      <c r="AF11" s="8">
        <f>SUM(AF9:AF10)</f>
        <v>2730435.37</v>
      </c>
    </row>
    <row r="12" spans="1:32" x14ac:dyDescent="0.25">
      <c r="E12" s="2">
        <f>+E8*0.1</f>
        <v>196244.30000000002</v>
      </c>
      <c r="F12" s="131"/>
      <c r="G12" s="10">
        <f>SUM(G9:G11)</f>
        <v>1062358.3700000001</v>
      </c>
    </row>
    <row r="13" spans="1:32" x14ac:dyDescent="0.25">
      <c r="A13" s="131">
        <v>3.6999999999999998E-2</v>
      </c>
      <c r="B13" s="2" t="s">
        <v>64</v>
      </c>
      <c r="C13" s="3">
        <f>ROUND(C11-(C11/(1+A13)),0)</f>
        <v>97422</v>
      </c>
      <c r="AD13" s="52">
        <f>A13</f>
        <v>3.6999999999999998E-2</v>
      </c>
      <c r="AE13" s="10" t="str">
        <f>B13</f>
        <v>Indirect Costs</v>
      </c>
      <c r="AF13" s="10">
        <f>C13</f>
        <v>97422</v>
      </c>
    </row>
    <row r="15" spans="1:32" x14ac:dyDescent="0.25">
      <c r="A15" s="127" t="s">
        <v>50</v>
      </c>
      <c r="C15" s="9">
        <f>SUM(C7,C11)-C13</f>
        <v>2633013.37</v>
      </c>
      <c r="D15" s="33"/>
      <c r="AD15" s="127" t="str">
        <f>A15</f>
        <v xml:space="preserve">TOTAL AVAILABLE </v>
      </c>
      <c r="AF15" s="10">
        <f>AF11-AF13</f>
        <v>2633013.37</v>
      </c>
    </row>
    <row r="16" spans="1:32" x14ac:dyDescent="0.25">
      <c r="D16" s="386"/>
    </row>
    <row r="17" spans="1:33" x14ac:dyDescent="0.25">
      <c r="B17" s="37" t="s">
        <v>98</v>
      </c>
      <c r="C17" s="422">
        <v>42848</v>
      </c>
      <c r="D17" s="32"/>
      <c r="AE17" s="37"/>
    </row>
    <row r="18" spans="1:33" x14ac:dyDescent="0.25">
      <c r="C18" s="9" t="s">
        <v>745</v>
      </c>
      <c r="D18" s="32"/>
      <c r="E18" s="9" t="s">
        <v>745</v>
      </c>
      <c r="F18" s="32"/>
      <c r="G18" s="9" t="s">
        <v>745</v>
      </c>
      <c r="H18" s="32"/>
      <c r="I18" s="1194" t="s">
        <v>745</v>
      </c>
      <c r="J18" s="32"/>
      <c r="K18" s="9" t="s">
        <v>745</v>
      </c>
      <c r="L18" s="32"/>
      <c r="M18" s="9" t="s">
        <v>745</v>
      </c>
      <c r="N18" s="32"/>
      <c r="O18" s="9" t="s">
        <v>745</v>
      </c>
      <c r="P18" s="32"/>
      <c r="Q18" s="9" t="s">
        <v>745</v>
      </c>
      <c r="R18" s="32"/>
      <c r="S18" s="1194" t="s">
        <v>745</v>
      </c>
      <c r="T18" s="32"/>
      <c r="U18" s="9" t="s">
        <v>745</v>
      </c>
      <c r="V18" s="32"/>
      <c r="W18" s="1194" t="s">
        <v>745</v>
      </c>
      <c r="X18" s="32"/>
      <c r="Y18" s="9" t="s">
        <v>745</v>
      </c>
      <c r="Z18" s="32"/>
      <c r="AA18" s="9" t="s">
        <v>745</v>
      </c>
      <c r="AB18" s="32"/>
      <c r="AC18" s="32"/>
      <c r="AF18" s="32"/>
      <c r="AG18" s="32"/>
    </row>
    <row r="19" spans="1:33" ht="17.25" x14ac:dyDescent="0.4">
      <c r="C19" s="35" t="s">
        <v>75</v>
      </c>
      <c r="D19" s="34" t="s">
        <v>47</v>
      </c>
      <c r="E19" s="35" t="s">
        <v>99</v>
      </c>
      <c r="F19" s="34" t="s">
        <v>47</v>
      </c>
      <c r="G19" s="35" t="s">
        <v>100</v>
      </c>
      <c r="H19" s="34" t="s">
        <v>47</v>
      </c>
      <c r="I19" s="1195" t="s">
        <v>101</v>
      </c>
      <c r="J19" s="34" t="s">
        <v>47</v>
      </c>
      <c r="K19" s="35" t="s">
        <v>102</v>
      </c>
      <c r="L19" s="34" t="s">
        <v>47</v>
      </c>
      <c r="M19" s="35" t="s">
        <v>103</v>
      </c>
      <c r="N19" s="34" t="s">
        <v>47</v>
      </c>
      <c r="O19" s="35" t="s">
        <v>201</v>
      </c>
      <c r="P19" s="34" t="s">
        <v>47</v>
      </c>
      <c r="Q19" s="35" t="s">
        <v>202</v>
      </c>
      <c r="R19" s="34" t="s">
        <v>47</v>
      </c>
      <c r="S19" s="1195" t="s">
        <v>106</v>
      </c>
      <c r="T19" s="34" t="s">
        <v>47</v>
      </c>
      <c r="U19" s="35" t="s">
        <v>107</v>
      </c>
      <c r="V19" s="34" t="s">
        <v>47</v>
      </c>
      <c r="W19" s="1195" t="s">
        <v>108</v>
      </c>
      <c r="X19" s="34" t="s">
        <v>47</v>
      </c>
      <c r="Y19" s="35" t="s">
        <v>109</v>
      </c>
      <c r="Z19" s="34" t="s">
        <v>47</v>
      </c>
      <c r="AA19" s="35" t="s">
        <v>110</v>
      </c>
      <c r="AB19" s="34" t="s">
        <v>47</v>
      </c>
      <c r="AC19" s="79"/>
      <c r="AF19" s="35" t="s">
        <v>118</v>
      </c>
      <c r="AG19" s="34"/>
    </row>
    <row r="20" spans="1:33" s="10" customFormat="1" x14ac:dyDescent="0.25">
      <c r="A20" s="127" t="s">
        <v>46</v>
      </c>
      <c r="D20" s="33"/>
      <c r="F20" s="6"/>
      <c r="H20" s="6"/>
      <c r="I20" s="907"/>
      <c r="J20" s="6"/>
      <c r="L20" s="6"/>
      <c r="N20" s="6"/>
      <c r="P20" s="6"/>
      <c r="R20" s="6"/>
      <c r="S20" s="907"/>
      <c r="T20" s="6"/>
      <c r="V20" s="6"/>
      <c r="W20" s="907"/>
      <c r="X20" s="6"/>
      <c r="Z20" s="6"/>
      <c r="AB20" s="6"/>
      <c r="AC20" s="57"/>
      <c r="AD20" s="127" t="str">
        <f t="shared" ref="AD20:AD28" si="0">A20</f>
        <v xml:space="preserve">Certificated </v>
      </c>
    </row>
    <row r="21" spans="1:33" s="114" customFormat="1" x14ac:dyDescent="0.25">
      <c r="A21" s="387" t="s">
        <v>65</v>
      </c>
      <c r="B21" s="114" t="s">
        <v>66</v>
      </c>
      <c r="C21" s="117">
        <v>0</v>
      </c>
      <c r="D21" s="1227" t="s">
        <v>787</v>
      </c>
      <c r="E21" s="117">
        <v>2000</v>
      </c>
      <c r="F21" s="117"/>
      <c r="G21" s="117">
        <v>1000</v>
      </c>
      <c r="H21" s="117"/>
      <c r="I21" s="1196">
        <v>7313</v>
      </c>
      <c r="J21" s="117"/>
      <c r="K21" s="117">
        <f>+K138+3657</f>
        <v>11657</v>
      </c>
      <c r="L21" s="117"/>
      <c r="M21" s="117">
        <v>2600</v>
      </c>
      <c r="N21" s="117"/>
      <c r="O21" s="117">
        <v>9657</v>
      </c>
      <c r="P21" s="117"/>
      <c r="Q21" s="117">
        <f>4307+Q138</f>
        <v>7307</v>
      </c>
      <c r="R21" s="117"/>
      <c r="S21" s="1196">
        <v>8207</v>
      </c>
      <c r="T21" s="117"/>
      <c r="U21" s="117">
        <v>3605</v>
      </c>
      <c r="V21" s="117"/>
      <c r="W21" s="1196">
        <v>4662</v>
      </c>
      <c r="X21" s="117"/>
      <c r="Y21" s="117">
        <v>7800</v>
      </c>
      <c r="Z21" s="117"/>
      <c r="AA21" s="117">
        <v>8778</v>
      </c>
      <c r="AB21" s="117"/>
      <c r="AC21" s="118"/>
      <c r="AD21" s="387" t="str">
        <f t="shared" si="0"/>
        <v>1110</v>
      </c>
      <c r="AE21" s="114" t="str">
        <f t="shared" ref="AE21:AE28" si="1">B21</f>
        <v>Intervention Tchr.</v>
      </c>
      <c r="AF21" s="114">
        <f>SUM(C21,E21,G21,I21,K21,M21,O21,Q21,S21,U21,W21,Y21,AA21)</f>
        <v>74586</v>
      </c>
    </row>
    <row r="22" spans="1:33" s="114" customFormat="1" x14ac:dyDescent="0.25">
      <c r="A22" s="387" t="s">
        <v>45</v>
      </c>
      <c r="B22" s="114" t="s">
        <v>789</v>
      </c>
      <c r="C22" s="113">
        <v>9089</v>
      </c>
      <c r="D22" s="1227" t="s">
        <v>788</v>
      </c>
      <c r="E22" s="114">
        <v>0</v>
      </c>
      <c r="F22" s="115"/>
      <c r="G22" s="114">
        <v>0</v>
      </c>
      <c r="H22" s="115"/>
      <c r="I22" s="1197">
        <v>0</v>
      </c>
      <c r="J22" s="115"/>
      <c r="K22" s="114">
        <v>0</v>
      </c>
      <c r="L22" s="115"/>
      <c r="M22" s="114">
        <v>1050</v>
      </c>
      <c r="N22" s="115"/>
      <c r="O22" s="114">
        <v>0</v>
      </c>
      <c r="P22" s="115"/>
      <c r="Q22" s="114">
        <v>0</v>
      </c>
      <c r="R22" s="115"/>
      <c r="S22" s="1197">
        <v>150</v>
      </c>
      <c r="T22" s="115"/>
      <c r="U22" s="114">
        <v>0</v>
      </c>
      <c r="V22" s="115"/>
      <c r="W22" s="1197">
        <v>0</v>
      </c>
      <c r="X22" s="115"/>
      <c r="Y22" s="114">
        <v>0</v>
      </c>
      <c r="Z22" s="115"/>
      <c r="AA22" s="114">
        <v>0</v>
      </c>
      <c r="AB22" s="115"/>
      <c r="AC22" s="116"/>
      <c r="AD22" s="387" t="str">
        <f t="shared" si="0"/>
        <v>1112</v>
      </c>
      <c r="AE22" s="114" t="str">
        <f t="shared" si="1"/>
        <v>Supplemental Tchr./Extra Duty/Training</v>
      </c>
      <c r="AF22" s="114">
        <f t="shared" ref="AF22:AF28" si="2">SUM(C22,E22,G22,I22,K22,M22,O22,Q22,S22,U22,W22,Y22,AA22)</f>
        <v>10289</v>
      </c>
    </row>
    <row r="23" spans="1:33" s="114" customFormat="1" x14ac:dyDescent="0.25">
      <c r="A23" s="387" t="s">
        <v>43</v>
      </c>
      <c r="B23" s="114" t="s">
        <v>42</v>
      </c>
      <c r="C23" s="113">
        <v>69521</v>
      </c>
      <c r="D23" s="388"/>
      <c r="E23" s="114">
        <v>2500</v>
      </c>
      <c r="F23" s="115"/>
      <c r="G23" s="114">
        <v>4175</v>
      </c>
      <c r="H23" s="115"/>
      <c r="I23" s="1197">
        <v>12600</v>
      </c>
      <c r="J23" s="115"/>
      <c r="K23" s="114">
        <v>9672</v>
      </c>
      <c r="L23" s="115"/>
      <c r="M23" s="114">
        <v>9310</v>
      </c>
      <c r="N23" s="115"/>
      <c r="O23" s="114">
        <v>1050</v>
      </c>
      <c r="P23" s="115"/>
      <c r="Q23" s="114">
        <v>4340</v>
      </c>
      <c r="R23" s="115"/>
      <c r="S23" s="1197">
        <v>6591</v>
      </c>
      <c r="T23" s="115"/>
      <c r="U23" s="114">
        <v>7280</v>
      </c>
      <c r="V23" s="115"/>
      <c r="W23" s="1197">
        <v>3310</v>
      </c>
      <c r="X23" s="115"/>
      <c r="Y23" s="114">
        <v>6300</v>
      </c>
      <c r="Z23" s="115"/>
      <c r="AA23" s="114">
        <v>10000</v>
      </c>
      <c r="AB23" s="115"/>
      <c r="AC23" s="116"/>
      <c r="AD23" s="387" t="str">
        <f t="shared" si="0"/>
        <v>1181</v>
      </c>
      <c r="AE23" s="114" t="str">
        <f t="shared" si="1"/>
        <v>Subs</v>
      </c>
      <c r="AF23" s="114">
        <f t="shared" si="2"/>
        <v>146649</v>
      </c>
    </row>
    <row r="24" spans="1:33" s="114" customFormat="1" ht="30" x14ac:dyDescent="0.25">
      <c r="A24" s="387" t="s">
        <v>41</v>
      </c>
      <c r="B24" s="114" t="s">
        <v>40</v>
      </c>
      <c r="C24" s="113">
        <v>250203</v>
      </c>
      <c r="D24" s="389" t="s">
        <v>206</v>
      </c>
      <c r="E24" s="114">
        <v>0</v>
      </c>
      <c r="F24" s="115"/>
      <c r="G24" s="114">
        <v>0</v>
      </c>
      <c r="H24" s="115"/>
      <c r="I24" s="1197">
        <v>0</v>
      </c>
      <c r="J24" s="115"/>
      <c r="K24" s="114">
        <v>0</v>
      </c>
      <c r="L24" s="115"/>
      <c r="M24" s="114">
        <v>0</v>
      </c>
      <c r="N24" s="115"/>
      <c r="O24" s="114">
        <v>0</v>
      </c>
      <c r="P24" s="115"/>
      <c r="Q24" s="114">
        <v>0</v>
      </c>
      <c r="R24" s="115"/>
      <c r="S24" s="1197">
        <v>0</v>
      </c>
      <c r="T24" s="115"/>
      <c r="U24" s="114">
        <v>0</v>
      </c>
      <c r="V24" s="115"/>
      <c r="W24" s="1197">
        <v>0</v>
      </c>
      <c r="X24" s="115"/>
      <c r="Y24" s="114">
        <v>0</v>
      </c>
      <c r="Z24" s="115"/>
      <c r="AA24" s="114">
        <v>0</v>
      </c>
      <c r="AB24" s="115"/>
      <c r="AC24" s="116"/>
      <c r="AD24" s="387" t="str">
        <f t="shared" si="0"/>
        <v>1204</v>
      </c>
      <c r="AE24" s="114" t="str">
        <f t="shared" si="1"/>
        <v>Counselor</v>
      </c>
      <c r="AF24" s="114">
        <f t="shared" si="2"/>
        <v>250203</v>
      </c>
    </row>
    <row r="25" spans="1:33" s="114" customFormat="1" x14ac:dyDescent="0.25">
      <c r="A25" s="387" t="s">
        <v>67</v>
      </c>
      <c r="B25" s="114" t="s">
        <v>68</v>
      </c>
      <c r="C25" s="113">
        <v>0</v>
      </c>
      <c r="E25" s="114">
        <v>500</v>
      </c>
      <c r="F25" s="115"/>
      <c r="G25" s="114">
        <v>0</v>
      </c>
      <c r="H25" s="115"/>
      <c r="I25" s="1197">
        <v>457</v>
      </c>
      <c r="J25" s="115"/>
      <c r="K25" s="114">
        <v>0</v>
      </c>
      <c r="L25" s="115"/>
      <c r="M25" s="114">
        <v>0</v>
      </c>
      <c r="N25" s="115"/>
      <c r="O25" s="114">
        <v>0</v>
      </c>
      <c r="P25" s="115"/>
      <c r="Q25" s="114">
        <v>863</v>
      </c>
      <c r="R25" s="115"/>
      <c r="S25" s="1197">
        <v>0</v>
      </c>
      <c r="T25" s="115"/>
      <c r="U25" s="114">
        <v>0</v>
      </c>
      <c r="V25" s="115"/>
      <c r="W25" s="1197">
        <v>609</v>
      </c>
      <c r="X25" s="115"/>
      <c r="Y25" s="114">
        <v>0</v>
      </c>
      <c r="Z25" s="115"/>
      <c r="AA25" s="114">
        <v>1016</v>
      </c>
      <c r="AB25" s="115"/>
      <c r="AC25" s="116"/>
      <c r="AD25" s="387" t="str">
        <f t="shared" si="0"/>
        <v>1208</v>
      </c>
      <c r="AE25" s="114" t="str">
        <f t="shared" si="1"/>
        <v>Parent Instruction</v>
      </c>
      <c r="AF25" s="114">
        <f t="shared" si="2"/>
        <v>3445</v>
      </c>
    </row>
    <row r="26" spans="1:33" s="114" customFormat="1" x14ac:dyDescent="0.25">
      <c r="A26" s="387" t="s">
        <v>39</v>
      </c>
      <c r="B26" s="114" t="s">
        <v>38</v>
      </c>
      <c r="C26" s="113">
        <v>60345</v>
      </c>
      <c r="D26" s="115" t="s">
        <v>116</v>
      </c>
      <c r="E26" s="114">
        <v>0</v>
      </c>
      <c r="F26" s="115"/>
      <c r="G26" s="114">
        <v>0</v>
      </c>
      <c r="H26" s="115"/>
      <c r="I26" s="1197">
        <v>0</v>
      </c>
      <c r="J26" s="115"/>
      <c r="K26" s="114">
        <v>0</v>
      </c>
      <c r="L26" s="115"/>
      <c r="M26" s="114">
        <v>0</v>
      </c>
      <c r="N26" s="115"/>
      <c r="O26" s="114">
        <v>0</v>
      </c>
      <c r="P26" s="115"/>
      <c r="Q26" s="114">
        <v>0</v>
      </c>
      <c r="R26" s="115"/>
      <c r="S26" s="1197">
        <v>0</v>
      </c>
      <c r="T26" s="115"/>
      <c r="U26" s="114">
        <v>0</v>
      </c>
      <c r="V26" s="115"/>
      <c r="W26" s="1197">
        <v>0</v>
      </c>
      <c r="X26" s="115"/>
      <c r="Y26" s="114">
        <v>0</v>
      </c>
      <c r="Z26" s="115"/>
      <c r="AA26" s="114">
        <v>0</v>
      </c>
      <c r="AB26" s="115"/>
      <c r="AC26" s="116"/>
      <c r="AD26" s="387" t="str">
        <f t="shared" si="0"/>
        <v>1305</v>
      </c>
      <c r="AE26" s="114" t="str">
        <f t="shared" si="1"/>
        <v>Director</v>
      </c>
      <c r="AF26" s="114">
        <f t="shared" si="2"/>
        <v>60345</v>
      </c>
    </row>
    <row r="27" spans="1:33" s="114" customFormat="1" ht="75" x14ac:dyDescent="0.25">
      <c r="A27" s="387" t="s">
        <v>37</v>
      </c>
      <c r="B27" s="114" t="s">
        <v>36</v>
      </c>
      <c r="C27" s="117">
        <v>499600</v>
      </c>
      <c r="D27" s="389" t="s">
        <v>207</v>
      </c>
      <c r="E27" s="115">
        <v>0</v>
      </c>
      <c r="F27" s="115"/>
      <c r="G27" s="115">
        <v>0</v>
      </c>
      <c r="H27" s="115"/>
      <c r="I27" s="1198">
        <v>0</v>
      </c>
      <c r="J27" s="115"/>
      <c r="K27" s="115">
        <v>0</v>
      </c>
      <c r="L27" s="115"/>
      <c r="M27" s="115">
        <v>0</v>
      </c>
      <c r="N27" s="115"/>
      <c r="O27" s="115">
        <v>0</v>
      </c>
      <c r="P27" s="115"/>
      <c r="Q27" s="115">
        <v>0</v>
      </c>
      <c r="R27" s="115"/>
      <c r="S27" s="1198">
        <v>0</v>
      </c>
      <c r="T27" s="115"/>
      <c r="U27" s="115">
        <v>0</v>
      </c>
      <c r="V27" s="115"/>
      <c r="W27" s="1198">
        <v>0</v>
      </c>
      <c r="X27" s="115"/>
      <c r="Y27" s="115">
        <v>0</v>
      </c>
      <c r="Z27" s="115"/>
      <c r="AA27" s="115">
        <v>0</v>
      </c>
      <c r="AB27" s="115"/>
      <c r="AC27" s="116"/>
      <c r="AD27" s="387" t="str">
        <f t="shared" si="0"/>
        <v>1901</v>
      </c>
      <c r="AE27" s="114" t="str">
        <f t="shared" si="1"/>
        <v>Inst. Coaches</v>
      </c>
      <c r="AF27" s="114">
        <f>SUM(C27,E27,G27,I27,K27,M27,O27,Q27,S27,U27,W27,Y27,AA27)</f>
        <v>499600</v>
      </c>
    </row>
    <row r="28" spans="1:33" x14ac:dyDescent="0.25">
      <c r="A28" s="131" t="s">
        <v>204</v>
      </c>
      <c r="B28" s="2" t="s">
        <v>205</v>
      </c>
      <c r="C28" s="25">
        <f>+C132</f>
        <v>10000</v>
      </c>
      <c r="E28" s="36">
        <v>0</v>
      </c>
      <c r="F28" s="36"/>
      <c r="G28" s="36">
        <v>0</v>
      </c>
      <c r="H28" s="36"/>
      <c r="I28" s="1199">
        <v>0</v>
      </c>
      <c r="J28" s="36"/>
      <c r="K28" s="36">
        <v>0</v>
      </c>
      <c r="L28" s="36"/>
      <c r="M28" s="36">
        <v>0</v>
      </c>
      <c r="N28" s="36"/>
      <c r="O28" s="36">
        <v>0</v>
      </c>
      <c r="P28" s="36"/>
      <c r="Q28" s="36">
        <v>0</v>
      </c>
      <c r="R28" s="36"/>
      <c r="S28" s="1199">
        <v>0</v>
      </c>
      <c r="T28" s="36"/>
      <c r="U28" s="36">
        <v>0</v>
      </c>
      <c r="V28" s="36"/>
      <c r="W28" s="1199">
        <v>0</v>
      </c>
      <c r="X28" s="36"/>
      <c r="Y28" s="36">
        <v>0</v>
      </c>
      <c r="Z28" s="36"/>
      <c r="AA28" s="36">
        <v>0</v>
      </c>
      <c r="AB28" s="36"/>
      <c r="AC28" s="66"/>
      <c r="AD28" s="131" t="str">
        <f t="shared" si="0"/>
        <v>1923</v>
      </c>
      <c r="AE28" s="2" t="str">
        <f t="shared" si="1"/>
        <v>Mentors</v>
      </c>
      <c r="AF28" s="2">
        <f t="shared" si="2"/>
        <v>10000</v>
      </c>
    </row>
    <row r="29" spans="1:33" ht="6.75" customHeight="1" x14ac:dyDescent="0.25">
      <c r="A29" s="131"/>
      <c r="C29" s="25"/>
      <c r="E29" s="36"/>
      <c r="F29" s="36"/>
      <c r="G29" s="36"/>
      <c r="H29" s="36"/>
      <c r="I29" s="1199"/>
      <c r="J29" s="36"/>
      <c r="K29" s="36"/>
      <c r="L29" s="36"/>
      <c r="M29" s="36"/>
      <c r="N29" s="36"/>
      <c r="O29" s="36"/>
      <c r="P29" s="36"/>
      <c r="Q29" s="36"/>
      <c r="R29" s="36"/>
      <c r="S29" s="1199"/>
      <c r="T29" s="36"/>
      <c r="U29" s="36"/>
      <c r="V29" s="36"/>
      <c r="W29" s="1199"/>
      <c r="X29" s="36"/>
      <c r="Y29" s="36"/>
      <c r="Z29" s="36"/>
      <c r="AA29" s="36"/>
      <c r="AB29" s="36"/>
      <c r="AC29" s="66"/>
      <c r="AD29" s="131"/>
    </row>
    <row r="30" spans="1:33" x14ac:dyDescent="0.25">
      <c r="A30" s="131"/>
      <c r="C30" s="8">
        <f>SUM(C21:C29)</f>
        <v>898758</v>
      </c>
      <c r="D30" s="2"/>
      <c r="E30" s="8">
        <f>SUM(E21:E29)</f>
        <v>5000</v>
      </c>
      <c r="F30" s="5"/>
      <c r="G30" s="8">
        <f>SUM(G21:G29)</f>
        <v>5175</v>
      </c>
      <c r="H30" s="5"/>
      <c r="I30" s="1200">
        <f>SUM(I21:I29)</f>
        <v>20370</v>
      </c>
      <c r="J30" s="5"/>
      <c r="K30" s="8">
        <f>SUM(K21:K29)</f>
        <v>21329</v>
      </c>
      <c r="L30" s="5"/>
      <c r="M30" s="8">
        <f>SUM(M21:M29)</f>
        <v>12960</v>
      </c>
      <c r="N30" s="5"/>
      <c r="O30" s="8">
        <f>SUM(O21:O29)</f>
        <v>10707</v>
      </c>
      <c r="P30" s="5"/>
      <c r="Q30" s="8">
        <f>SUM(Q21:Q29)</f>
        <v>12510</v>
      </c>
      <c r="R30" s="5"/>
      <c r="S30" s="1200">
        <f>SUM(S21:S29)</f>
        <v>14948</v>
      </c>
      <c r="T30" s="5"/>
      <c r="U30" s="8">
        <f>SUM(U21:U29)</f>
        <v>10885</v>
      </c>
      <c r="V30" s="5"/>
      <c r="W30" s="1200">
        <f>SUM(W21:W29)</f>
        <v>8581</v>
      </c>
      <c r="X30" s="5"/>
      <c r="Y30" s="8">
        <f>SUM(Y21:Y29)</f>
        <v>14100</v>
      </c>
      <c r="Z30" s="5"/>
      <c r="AA30" s="8">
        <f>SUM(AA21:AA29)</f>
        <v>19794</v>
      </c>
      <c r="AB30" s="5"/>
      <c r="AC30" s="29"/>
      <c r="AD30" s="131"/>
      <c r="AF30" s="8">
        <f>SUM(AF21:AF29)</f>
        <v>1055117</v>
      </c>
    </row>
    <row r="31" spans="1:33" x14ac:dyDescent="0.25">
      <c r="D31" s="2"/>
      <c r="F31" s="36"/>
      <c r="H31" s="36"/>
      <c r="J31" s="36"/>
      <c r="L31" s="36"/>
      <c r="N31" s="36"/>
      <c r="P31" s="36"/>
      <c r="R31" s="36"/>
      <c r="T31" s="36"/>
      <c r="V31" s="36"/>
      <c r="X31" s="36"/>
      <c r="Z31" s="36"/>
      <c r="AB31" s="36"/>
      <c r="AC31" s="66"/>
    </row>
    <row r="32" spans="1:33" s="6" customFormat="1" x14ac:dyDescent="0.25">
      <c r="A32" s="33" t="s">
        <v>35</v>
      </c>
      <c r="D32" s="33"/>
      <c r="I32" s="1201"/>
      <c r="S32" s="1201"/>
      <c r="W32" s="1201"/>
      <c r="AC32" s="57"/>
      <c r="AD32" s="33" t="str">
        <f t="shared" ref="AD32:AD39" si="3">A32</f>
        <v>Classified</v>
      </c>
    </row>
    <row r="33" spans="1:32" x14ac:dyDescent="0.25">
      <c r="A33" s="131" t="s">
        <v>69</v>
      </c>
      <c r="B33" s="2" t="s">
        <v>70</v>
      </c>
      <c r="C33" s="3">
        <v>0</v>
      </c>
      <c r="E33" s="2">
        <v>0</v>
      </c>
      <c r="F33" s="36"/>
      <c r="G33" s="2">
        <f>16243+G144</f>
        <v>18243</v>
      </c>
      <c r="H33" s="36"/>
      <c r="I33" s="162">
        <v>28486</v>
      </c>
      <c r="J33" s="36"/>
      <c r="K33" s="2">
        <v>0</v>
      </c>
      <c r="L33" s="36"/>
      <c r="M33" s="2">
        <v>0</v>
      </c>
      <c r="N33" s="36"/>
      <c r="O33" s="2">
        <v>0</v>
      </c>
      <c r="P33" s="36"/>
      <c r="Q33" s="2">
        <v>0</v>
      </c>
      <c r="R33" s="36"/>
      <c r="S33" s="162">
        <v>25204</v>
      </c>
      <c r="T33" s="36"/>
      <c r="U33" s="2">
        <v>0</v>
      </c>
      <c r="V33" s="36"/>
      <c r="W33" s="162">
        <v>27270</v>
      </c>
      <c r="X33" s="36"/>
      <c r="Y33" s="2">
        <v>0</v>
      </c>
      <c r="Z33" s="36"/>
      <c r="AA33" s="2">
        <v>0</v>
      </c>
      <c r="AB33" s="36"/>
      <c r="AC33" s="66"/>
      <c r="AD33" s="131" t="str">
        <f t="shared" si="3"/>
        <v>2101</v>
      </c>
      <c r="AE33" s="2" t="str">
        <f t="shared" ref="AE33:AE39" si="4">B33</f>
        <v>Para Lrning Asstnt</v>
      </c>
      <c r="AF33" s="2">
        <f>SUM(C33,E33,G33,I33,K33,M33,O33,Q33,S33,U33,W33,Y33,AA33)</f>
        <v>99203</v>
      </c>
    </row>
    <row r="34" spans="1:32" x14ac:dyDescent="0.25">
      <c r="A34" s="131" t="s">
        <v>34</v>
      </c>
      <c r="B34" s="2" t="s">
        <v>33</v>
      </c>
      <c r="C34" s="3">
        <v>0</v>
      </c>
      <c r="E34" s="2">
        <v>0</v>
      </c>
      <c r="F34" s="36"/>
      <c r="G34" s="2">
        <v>0</v>
      </c>
      <c r="H34" s="36"/>
      <c r="I34" s="162">
        <v>0</v>
      </c>
      <c r="J34" s="36"/>
      <c r="K34" s="2">
        <v>0</v>
      </c>
      <c r="L34" s="36"/>
      <c r="M34" s="2">
        <v>0</v>
      </c>
      <c r="N34" s="36"/>
      <c r="O34" s="2">
        <v>0</v>
      </c>
      <c r="P34" s="36"/>
      <c r="Q34" s="2">
        <v>0</v>
      </c>
      <c r="R34" s="36"/>
      <c r="S34" s="162">
        <v>0</v>
      </c>
      <c r="T34" s="36"/>
      <c r="U34" s="2">
        <v>0</v>
      </c>
      <c r="V34" s="36"/>
      <c r="W34" s="162">
        <v>0</v>
      </c>
      <c r="X34" s="36"/>
      <c r="Y34" s="2">
        <v>0</v>
      </c>
      <c r="Z34" s="36"/>
      <c r="AA34" s="2">
        <v>0</v>
      </c>
      <c r="AB34" s="36"/>
      <c r="AC34" s="66"/>
      <c r="AD34" s="131" t="str">
        <f t="shared" si="3"/>
        <v>2273</v>
      </c>
      <c r="AE34" s="2" t="str">
        <f t="shared" si="4"/>
        <v>Extra Clss Support</v>
      </c>
      <c r="AF34" s="2">
        <f t="shared" ref="AF34:AF39" si="5">SUM(C34,E34,G34,I34,K34,M34,O34,Q34,S34,U34,W34,Y34,AA34)</f>
        <v>0</v>
      </c>
    </row>
    <row r="35" spans="1:32" x14ac:dyDescent="0.25">
      <c r="A35" s="131" t="s">
        <v>32</v>
      </c>
      <c r="B35" s="2" t="s">
        <v>31</v>
      </c>
      <c r="C35" s="3">
        <v>18222</v>
      </c>
      <c r="D35" s="30" t="s">
        <v>115</v>
      </c>
      <c r="E35" s="2">
        <v>0</v>
      </c>
      <c r="F35" s="36"/>
      <c r="G35" s="2">
        <v>0</v>
      </c>
      <c r="H35" s="36"/>
      <c r="I35" s="162">
        <v>0</v>
      </c>
      <c r="J35" s="36"/>
      <c r="K35" s="2">
        <v>0</v>
      </c>
      <c r="L35" s="36"/>
      <c r="M35" s="2">
        <v>0</v>
      </c>
      <c r="N35" s="36"/>
      <c r="O35" s="2">
        <v>0</v>
      </c>
      <c r="P35" s="36"/>
      <c r="Q35" s="2">
        <v>0</v>
      </c>
      <c r="R35" s="36"/>
      <c r="S35" s="162">
        <v>0</v>
      </c>
      <c r="T35" s="36"/>
      <c r="U35" s="2">
        <v>0</v>
      </c>
      <c r="V35" s="36"/>
      <c r="W35" s="162">
        <v>0</v>
      </c>
      <c r="X35" s="36"/>
      <c r="Y35" s="2">
        <v>0</v>
      </c>
      <c r="Z35" s="36"/>
      <c r="AA35" s="2">
        <v>0</v>
      </c>
      <c r="AB35" s="36"/>
      <c r="AC35" s="66"/>
      <c r="AD35" s="131" t="str">
        <f t="shared" si="3"/>
        <v>2404</v>
      </c>
      <c r="AE35" s="2" t="str">
        <f t="shared" si="4"/>
        <v>Secretary</v>
      </c>
      <c r="AF35" s="2">
        <f t="shared" si="5"/>
        <v>18222</v>
      </c>
    </row>
    <row r="36" spans="1:32" x14ac:dyDescent="0.25">
      <c r="A36" s="131" t="s">
        <v>30</v>
      </c>
      <c r="B36" s="2" t="s">
        <v>29</v>
      </c>
      <c r="C36" s="3">
        <v>1236</v>
      </c>
      <c r="E36" s="2">
        <v>0</v>
      </c>
      <c r="F36" s="36"/>
      <c r="G36" s="2">
        <v>0</v>
      </c>
      <c r="H36" s="36"/>
      <c r="I36" s="162">
        <v>0</v>
      </c>
      <c r="J36" s="36"/>
      <c r="K36" s="2">
        <v>102</v>
      </c>
      <c r="L36" s="36"/>
      <c r="M36" s="2">
        <v>0</v>
      </c>
      <c r="N36" s="36"/>
      <c r="O36" s="2">
        <v>0</v>
      </c>
      <c r="P36" s="36"/>
      <c r="Q36" s="2">
        <v>0</v>
      </c>
      <c r="R36" s="36"/>
      <c r="S36" s="162">
        <v>0</v>
      </c>
      <c r="T36" s="36"/>
      <c r="U36" s="2">
        <v>0</v>
      </c>
      <c r="V36" s="36"/>
      <c r="W36" s="162">
        <v>0</v>
      </c>
      <c r="X36" s="36"/>
      <c r="Y36" s="2">
        <v>0</v>
      </c>
      <c r="Z36" s="36"/>
      <c r="AA36" s="2">
        <v>0</v>
      </c>
      <c r="AB36" s="36"/>
      <c r="AC36" s="66"/>
      <c r="AD36" s="131" t="str">
        <f t="shared" si="3"/>
        <v>2481</v>
      </c>
      <c r="AE36" s="2" t="str">
        <f t="shared" si="4"/>
        <v>Sub. Office</v>
      </c>
      <c r="AF36" s="2">
        <f t="shared" si="5"/>
        <v>1338</v>
      </c>
    </row>
    <row r="37" spans="1:32" x14ac:dyDescent="0.25">
      <c r="A37" s="131" t="s">
        <v>72</v>
      </c>
      <c r="B37" s="2" t="s">
        <v>71</v>
      </c>
      <c r="C37" s="3">
        <v>0</v>
      </c>
      <c r="E37" s="2">
        <v>0</v>
      </c>
      <c r="F37" s="36"/>
      <c r="G37" s="2">
        <v>0</v>
      </c>
      <c r="H37" s="36"/>
      <c r="I37" s="162">
        <v>0</v>
      </c>
      <c r="J37" s="36"/>
      <c r="K37" s="2">
        <v>0</v>
      </c>
      <c r="L37" s="36"/>
      <c r="M37" s="2">
        <v>0</v>
      </c>
      <c r="N37" s="36"/>
      <c r="O37" s="2">
        <v>0</v>
      </c>
      <c r="P37" s="36"/>
      <c r="Q37" s="2">
        <v>407</v>
      </c>
      <c r="R37" s="36"/>
      <c r="S37" s="162">
        <v>0</v>
      </c>
      <c r="T37" s="36"/>
      <c r="U37" s="2">
        <v>167</v>
      </c>
      <c r="V37" s="36"/>
      <c r="W37" s="162">
        <v>370</v>
      </c>
      <c r="X37" s="36"/>
      <c r="Y37" s="2">
        <v>0</v>
      </c>
      <c r="Z37" s="36"/>
      <c r="AA37" s="2">
        <v>556</v>
      </c>
      <c r="AB37" s="36"/>
      <c r="AC37" s="66"/>
      <c r="AD37" s="131" t="str">
        <f t="shared" si="3"/>
        <v>2901</v>
      </c>
      <c r="AE37" s="2" t="str">
        <f t="shared" si="4"/>
        <v>Babysitter</v>
      </c>
      <c r="AF37" s="2">
        <f t="shared" si="5"/>
        <v>1500</v>
      </c>
    </row>
    <row r="38" spans="1:32" x14ac:dyDescent="0.25">
      <c r="A38" s="131" t="s">
        <v>114</v>
      </c>
      <c r="B38" s="2" t="s">
        <v>117</v>
      </c>
      <c r="C38" s="3">
        <v>0</v>
      </c>
      <c r="E38" s="2">
        <v>210</v>
      </c>
      <c r="F38" s="36"/>
      <c r="G38" s="2">
        <v>304</v>
      </c>
      <c r="H38" s="36"/>
      <c r="I38" s="162">
        <v>85</v>
      </c>
      <c r="J38" s="36"/>
      <c r="K38" s="2">
        <v>406</v>
      </c>
      <c r="L38" s="36"/>
      <c r="M38" s="2">
        <v>1388</v>
      </c>
      <c r="N38" s="36"/>
      <c r="O38" s="2">
        <v>793</v>
      </c>
      <c r="P38" s="36"/>
      <c r="Q38" s="2">
        <v>814</v>
      </c>
      <c r="R38" s="36"/>
      <c r="S38" s="162">
        <v>169</v>
      </c>
      <c r="T38" s="36"/>
      <c r="U38" s="2">
        <v>339</v>
      </c>
      <c r="V38" s="36"/>
      <c r="W38" s="162">
        <v>337</v>
      </c>
      <c r="X38" s="36"/>
      <c r="Y38" s="2">
        <v>237</v>
      </c>
      <c r="Z38" s="36"/>
      <c r="AA38" s="2">
        <v>4233</v>
      </c>
      <c r="AB38" s="36"/>
      <c r="AC38" s="66"/>
      <c r="AD38" s="131" t="str">
        <f t="shared" si="3"/>
        <v>2910</v>
      </c>
      <c r="AE38" s="2" t="str">
        <f t="shared" si="4"/>
        <v>Interpreters</v>
      </c>
      <c r="AF38" s="2">
        <f t="shared" si="5"/>
        <v>9315</v>
      </c>
    </row>
    <row r="39" spans="1:32" x14ac:dyDescent="0.25">
      <c r="A39" s="131" t="s">
        <v>73</v>
      </c>
      <c r="B39" s="2" t="s">
        <v>74</v>
      </c>
      <c r="C39" s="3">
        <v>0</v>
      </c>
      <c r="E39" s="2">
        <v>0</v>
      </c>
      <c r="F39" s="36"/>
      <c r="G39" s="2">
        <v>0</v>
      </c>
      <c r="H39" s="36"/>
      <c r="I39" s="162">
        <v>0</v>
      </c>
      <c r="J39" s="36"/>
      <c r="K39" s="2">
        <v>0</v>
      </c>
      <c r="L39" s="36"/>
      <c r="M39" s="2">
        <v>0</v>
      </c>
      <c r="N39" s="36"/>
      <c r="O39" s="2">
        <v>0</v>
      </c>
      <c r="P39" s="36"/>
      <c r="Q39" s="2">
        <v>0</v>
      </c>
      <c r="R39" s="36"/>
      <c r="S39" s="162">
        <v>0</v>
      </c>
      <c r="T39" s="36"/>
      <c r="U39" s="2">
        <v>0</v>
      </c>
      <c r="V39" s="36"/>
      <c r="W39" s="162">
        <v>0</v>
      </c>
      <c r="X39" s="36"/>
      <c r="Y39" s="2">
        <v>0</v>
      </c>
      <c r="Z39" s="36"/>
      <c r="AA39" s="2">
        <v>440</v>
      </c>
      <c r="AB39" s="36"/>
      <c r="AC39" s="66"/>
      <c r="AD39" s="131" t="str">
        <f t="shared" si="3"/>
        <v>2924</v>
      </c>
      <c r="AE39" s="2" t="str">
        <f t="shared" si="4"/>
        <v>Parent Ed. Aide</v>
      </c>
      <c r="AF39" s="2">
        <f t="shared" si="5"/>
        <v>440</v>
      </c>
    </row>
    <row r="40" spans="1:32" ht="6" customHeight="1" x14ac:dyDescent="0.25">
      <c r="A40" s="131"/>
      <c r="F40" s="36"/>
      <c r="H40" s="36"/>
      <c r="J40" s="36"/>
      <c r="L40" s="36"/>
      <c r="N40" s="36"/>
      <c r="P40" s="36"/>
      <c r="R40" s="36"/>
      <c r="T40" s="36"/>
      <c r="V40" s="36"/>
      <c r="X40" s="36"/>
      <c r="Z40" s="36"/>
      <c r="AB40" s="36"/>
      <c r="AC40" s="66"/>
      <c r="AD40" s="131"/>
    </row>
    <row r="41" spans="1:32" x14ac:dyDescent="0.25">
      <c r="A41" s="131"/>
      <c r="C41" s="8">
        <f>SUM(C33:C40)</f>
        <v>19458</v>
      </c>
      <c r="D41" s="33"/>
      <c r="E41" s="8">
        <f>SUM(E33:E40)</f>
        <v>210</v>
      </c>
      <c r="F41" s="5"/>
      <c r="G41" s="8">
        <f>SUM(G33:G40)</f>
        <v>18547</v>
      </c>
      <c r="H41" s="5"/>
      <c r="I41" s="1200">
        <f>SUM(I33:I40)</f>
        <v>28571</v>
      </c>
      <c r="J41" s="5"/>
      <c r="K41" s="8">
        <f>SUM(K33:K40)</f>
        <v>508</v>
      </c>
      <c r="L41" s="5"/>
      <c r="M41" s="8">
        <f>SUM(M33:M40)</f>
        <v>1388</v>
      </c>
      <c r="N41" s="5"/>
      <c r="O41" s="8">
        <f>SUM(O33:O40)</f>
        <v>793</v>
      </c>
      <c r="P41" s="5"/>
      <c r="Q41" s="8">
        <f>SUM(Q33:Q40)</f>
        <v>1221</v>
      </c>
      <c r="R41" s="5"/>
      <c r="S41" s="1200">
        <f>SUM(S33:S40)</f>
        <v>25373</v>
      </c>
      <c r="T41" s="5"/>
      <c r="U41" s="8">
        <f>SUM(U33:U40)</f>
        <v>506</v>
      </c>
      <c r="V41" s="5"/>
      <c r="W41" s="1200">
        <f>SUM(W33:W40)</f>
        <v>27977</v>
      </c>
      <c r="X41" s="5"/>
      <c r="Y41" s="8">
        <f>SUM(Y33:Y40)</f>
        <v>237</v>
      </c>
      <c r="Z41" s="5"/>
      <c r="AA41" s="8">
        <f>SUM(AA33:AA40)</f>
        <v>5229</v>
      </c>
      <c r="AB41" s="5"/>
      <c r="AC41" s="29"/>
      <c r="AD41" s="131"/>
      <c r="AF41" s="8">
        <f>SUM(AF33:AF40)</f>
        <v>130018</v>
      </c>
    </row>
    <row r="42" spans="1:32" x14ac:dyDescent="0.25">
      <c r="A42" s="37" t="s">
        <v>28</v>
      </c>
      <c r="F42" s="36"/>
      <c r="H42" s="36"/>
      <c r="J42" s="36"/>
      <c r="L42" s="36"/>
      <c r="N42" s="36"/>
      <c r="P42" s="36"/>
      <c r="R42" s="36"/>
      <c r="T42" s="36"/>
      <c r="V42" s="36"/>
      <c r="X42" s="36"/>
      <c r="Z42" s="36"/>
      <c r="AB42" s="36"/>
      <c r="AC42" s="66"/>
      <c r="AD42" s="37" t="str">
        <f t="shared" ref="AD42:AD50" si="6">A42</f>
        <v xml:space="preserve">  </v>
      </c>
    </row>
    <row r="43" spans="1:32" x14ac:dyDescent="0.25">
      <c r="A43" s="127" t="s">
        <v>27</v>
      </c>
      <c r="C43" s="9"/>
      <c r="D43" s="33"/>
      <c r="E43" s="10"/>
      <c r="F43" s="6"/>
      <c r="G43" s="10"/>
      <c r="H43" s="6"/>
      <c r="I43" s="907"/>
      <c r="J43" s="6"/>
      <c r="K43" s="10"/>
      <c r="L43" s="6"/>
      <c r="M43" s="10"/>
      <c r="N43" s="6"/>
      <c r="O43" s="10"/>
      <c r="P43" s="6"/>
      <c r="Q43" s="10"/>
      <c r="R43" s="6"/>
      <c r="S43" s="907"/>
      <c r="T43" s="6"/>
      <c r="U43" s="10"/>
      <c r="V43" s="6"/>
      <c r="W43" s="907"/>
      <c r="X43" s="6"/>
      <c r="Y43" s="10"/>
      <c r="Z43" s="6"/>
      <c r="AA43" s="10"/>
      <c r="AB43" s="6"/>
      <c r="AC43" s="57"/>
      <c r="AD43" s="127" t="str">
        <f t="shared" si="6"/>
        <v>Benefits</v>
      </c>
    </row>
    <row r="44" spans="1:32" x14ac:dyDescent="0.25">
      <c r="A44" s="131" t="s">
        <v>83</v>
      </c>
      <c r="B44" s="2" t="s">
        <v>76</v>
      </c>
      <c r="C44" s="3">
        <f>119847-9892+C133</f>
        <v>111213</v>
      </c>
      <c r="E44" s="2">
        <v>2437</v>
      </c>
      <c r="F44" s="36"/>
      <c r="G44" s="2">
        <f>1032+G139</f>
        <v>2290</v>
      </c>
      <c r="H44" s="36"/>
      <c r="I44" s="162">
        <v>1282</v>
      </c>
      <c r="J44" s="36"/>
      <c r="K44" s="2">
        <f>1694+K139</f>
        <v>2700</v>
      </c>
      <c r="L44" s="36"/>
      <c r="M44" s="2">
        <v>1630</v>
      </c>
      <c r="N44" s="36"/>
      <c r="O44" s="2">
        <f>687+O139</f>
        <v>1190</v>
      </c>
      <c r="P44" s="36"/>
      <c r="Q44" s="2">
        <f>1196+Q139</f>
        <v>1573</v>
      </c>
      <c r="R44" s="36"/>
      <c r="S44" s="162">
        <v>1485</v>
      </c>
      <c r="T44" s="36"/>
      <c r="U44" s="2">
        <f>2971+23</f>
        <v>2994</v>
      </c>
      <c r="V44" s="36"/>
      <c r="W44" s="162">
        <v>2425</v>
      </c>
      <c r="X44" s="36"/>
      <c r="Y44" s="2">
        <v>1774</v>
      </c>
      <c r="Z44" s="36"/>
      <c r="AA44" s="2">
        <v>2490</v>
      </c>
      <c r="AB44" s="36"/>
      <c r="AC44" s="66"/>
      <c r="AD44" s="131" t="str">
        <f t="shared" si="6"/>
        <v>310X</v>
      </c>
      <c r="AE44" s="2" t="str">
        <f t="shared" ref="AE44:AE50" si="7">B44</f>
        <v>STRS</v>
      </c>
      <c r="AF44" s="2">
        <f>SUM(C44,E44,G44,I44,K44,M44,O44,Q44,S44,U44,W44,Y44,AA44)</f>
        <v>135483</v>
      </c>
    </row>
    <row r="45" spans="1:32" x14ac:dyDescent="0.25">
      <c r="A45" s="131" t="s">
        <v>84</v>
      </c>
      <c r="B45" s="2" t="s">
        <v>77</v>
      </c>
      <c r="C45" s="3">
        <v>2702</v>
      </c>
      <c r="E45" s="2">
        <v>56</v>
      </c>
      <c r="F45" s="36"/>
      <c r="G45" s="2">
        <f>2303+G145</f>
        <v>2581</v>
      </c>
      <c r="H45" s="36"/>
      <c r="I45" s="162">
        <v>3973</v>
      </c>
      <c r="J45" s="36"/>
      <c r="K45" s="2">
        <v>64</v>
      </c>
      <c r="L45" s="36"/>
      <c r="M45" s="2">
        <v>193</v>
      </c>
      <c r="N45" s="36"/>
      <c r="O45" s="2">
        <v>287</v>
      </c>
      <c r="P45" s="36"/>
      <c r="Q45" s="2">
        <v>169</v>
      </c>
      <c r="R45" s="36"/>
      <c r="S45" s="162">
        <v>3530</v>
      </c>
      <c r="T45" s="36"/>
      <c r="U45" s="2">
        <f>47</f>
        <v>47</v>
      </c>
      <c r="V45" s="36"/>
      <c r="W45" s="162">
        <v>3886</v>
      </c>
      <c r="X45" s="36"/>
      <c r="Y45" s="2">
        <v>33</v>
      </c>
      <c r="Z45" s="36"/>
      <c r="AA45" s="2">
        <v>726</v>
      </c>
      <c r="AB45" s="36"/>
      <c r="AC45" s="66"/>
      <c r="AD45" s="131" t="str">
        <f t="shared" si="6"/>
        <v>320X</v>
      </c>
      <c r="AE45" s="2" t="str">
        <f t="shared" si="7"/>
        <v>PERS</v>
      </c>
      <c r="AF45" s="2">
        <f t="shared" ref="AF45:AF50" si="8">SUM(C45,E45,G45,I45,K45,M45,O45,Q45,S45,U45,W45,Y45,AA45)</f>
        <v>18247</v>
      </c>
    </row>
    <row r="46" spans="1:32" x14ac:dyDescent="0.25">
      <c r="A46" s="131" t="s">
        <v>85</v>
      </c>
      <c r="B46" s="2" t="s">
        <v>78</v>
      </c>
      <c r="C46" s="3">
        <f>223+1207</f>
        <v>1430</v>
      </c>
      <c r="E46" s="2">
        <f>30+25</f>
        <v>55</v>
      </c>
      <c r="F46" s="36"/>
      <c r="G46" s="2">
        <f>960+G146</f>
        <v>1084</v>
      </c>
      <c r="H46" s="36"/>
      <c r="I46" s="162">
        <v>1688</v>
      </c>
      <c r="J46" s="36"/>
      <c r="K46" s="2">
        <f>17+38</f>
        <v>55</v>
      </c>
      <c r="L46" s="36"/>
      <c r="M46" s="2">
        <v>86</v>
      </c>
      <c r="N46" s="36"/>
      <c r="O46" s="2">
        <f>9+128</f>
        <v>137</v>
      </c>
      <c r="P46" s="36"/>
      <c r="Q46" s="2">
        <f>17+77</f>
        <v>94</v>
      </c>
      <c r="R46" s="36"/>
      <c r="S46" s="162">
        <f>5+1568</f>
        <v>1573</v>
      </c>
      <c r="T46" s="36"/>
      <c r="U46" s="2">
        <f>4+30</f>
        <v>34</v>
      </c>
      <c r="V46" s="36"/>
      <c r="W46" s="162">
        <f>9+1735</f>
        <v>1744</v>
      </c>
      <c r="X46" s="36"/>
      <c r="Y46" s="2">
        <f>18+14</f>
        <v>32</v>
      </c>
      <c r="Z46" s="36"/>
      <c r="AA46" s="2">
        <f>9+323</f>
        <v>332</v>
      </c>
      <c r="AB46" s="36"/>
      <c r="AC46" s="66"/>
      <c r="AD46" s="131" t="str">
        <f t="shared" si="6"/>
        <v>330X</v>
      </c>
      <c r="AE46" s="2" t="str">
        <f t="shared" si="7"/>
        <v>SS</v>
      </c>
      <c r="AF46" s="2">
        <f t="shared" si="8"/>
        <v>8344</v>
      </c>
    </row>
    <row r="47" spans="1:32" x14ac:dyDescent="0.25">
      <c r="A47" s="131" t="s">
        <v>86</v>
      </c>
      <c r="B47" s="2" t="s">
        <v>79</v>
      </c>
      <c r="C47" s="3">
        <f>12793+282</f>
        <v>13075</v>
      </c>
      <c r="E47" s="2">
        <f>251+6</f>
        <v>257</v>
      </c>
      <c r="F47" s="36"/>
      <c r="G47" s="2">
        <f>263+270</f>
        <v>533</v>
      </c>
      <c r="H47" s="36"/>
      <c r="I47" s="162">
        <f>296+415</f>
        <v>711</v>
      </c>
      <c r="J47" s="36"/>
      <c r="K47" s="2">
        <f>194+8+K140</f>
        <v>318</v>
      </c>
      <c r="L47" s="36"/>
      <c r="M47" s="2">
        <f>188+20</f>
        <v>208</v>
      </c>
      <c r="N47" s="36"/>
      <c r="O47" s="2">
        <f>136+29</f>
        <v>165</v>
      </c>
      <c r="P47" s="36"/>
      <c r="Q47" s="2">
        <f>182+18</f>
        <v>200</v>
      </c>
      <c r="R47" s="36"/>
      <c r="S47" s="162">
        <f>219+363</f>
        <v>582</v>
      </c>
      <c r="T47" s="36"/>
      <c r="U47" s="2">
        <f>342+7</f>
        <v>349</v>
      </c>
      <c r="V47" s="36"/>
      <c r="W47" s="162">
        <f>280+405</f>
        <v>685</v>
      </c>
      <c r="X47" s="36"/>
      <c r="Y47" s="2">
        <v>210</v>
      </c>
      <c r="Z47" s="36"/>
      <c r="AA47" s="2">
        <f>287+76</f>
        <v>363</v>
      </c>
      <c r="AB47" s="36"/>
      <c r="AC47" s="66"/>
      <c r="AD47" s="131" t="str">
        <f t="shared" si="6"/>
        <v>331X</v>
      </c>
      <c r="AE47" s="2" t="str">
        <f t="shared" si="7"/>
        <v>Medicare</v>
      </c>
      <c r="AF47" s="2">
        <f t="shared" si="8"/>
        <v>17656</v>
      </c>
    </row>
    <row r="48" spans="1:32" x14ac:dyDescent="0.25">
      <c r="A48" s="131" t="s">
        <v>87</v>
      </c>
      <c r="B48" s="2" t="s">
        <v>80</v>
      </c>
      <c r="C48" s="3">
        <f>90288+6504</f>
        <v>96792</v>
      </c>
      <c r="E48" s="2">
        <v>0</v>
      </c>
      <c r="F48" s="36"/>
      <c r="G48" s="2">
        <v>593</v>
      </c>
      <c r="H48" s="36"/>
      <c r="I48" s="162">
        <v>310</v>
      </c>
      <c r="J48" s="36"/>
      <c r="K48" s="2">
        <v>0</v>
      </c>
      <c r="L48" s="36"/>
      <c r="M48" s="2">
        <v>0</v>
      </c>
      <c r="N48" s="36"/>
      <c r="O48" s="2">
        <v>0</v>
      </c>
      <c r="P48" s="36"/>
      <c r="Q48" s="2">
        <v>0</v>
      </c>
      <c r="R48" s="36"/>
      <c r="S48" s="162">
        <v>395</v>
      </c>
      <c r="T48" s="36"/>
      <c r="U48" s="2">
        <v>0</v>
      </c>
      <c r="V48" s="36"/>
      <c r="W48" s="162">
        <v>4848</v>
      </c>
      <c r="X48" s="36"/>
      <c r="Y48" s="2">
        <v>0</v>
      </c>
      <c r="Z48" s="36"/>
      <c r="AA48" s="2">
        <v>0</v>
      </c>
      <c r="AB48" s="36"/>
      <c r="AC48" s="66"/>
      <c r="AD48" s="131" t="str">
        <f t="shared" si="6"/>
        <v>340X</v>
      </c>
      <c r="AE48" s="2" t="str">
        <f t="shared" si="7"/>
        <v>H&amp;W</v>
      </c>
      <c r="AF48" s="2">
        <f t="shared" si="8"/>
        <v>102938</v>
      </c>
    </row>
    <row r="49" spans="1:32" x14ac:dyDescent="0.25">
      <c r="A49" s="131" t="s">
        <v>88</v>
      </c>
      <c r="B49" s="2" t="s">
        <v>81</v>
      </c>
      <c r="C49" s="3">
        <f>456+10</f>
        <v>466</v>
      </c>
      <c r="E49" s="2">
        <f>11+1</f>
        <v>12</v>
      </c>
      <c r="F49" s="36"/>
      <c r="G49" s="2">
        <f>4+8+G141+G148</f>
        <v>18</v>
      </c>
      <c r="H49" s="36"/>
      <c r="I49" s="162">
        <f>10+14</f>
        <v>24</v>
      </c>
      <c r="J49" s="36"/>
      <c r="K49" s="2">
        <f>7+1+K141</f>
        <v>12</v>
      </c>
      <c r="L49" s="36"/>
      <c r="M49" s="2">
        <f>8+1</f>
        <v>9</v>
      </c>
      <c r="N49" s="36"/>
      <c r="O49" s="2">
        <f>2+O141</f>
        <v>4</v>
      </c>
      <c r="P49" s="36"/>
      <c r="Q49" s="2">
        <f>4+Q141</f>
        <v>6</v>
      </c>
      <c r="R49" s="36"/>
      <c r="S49" s="162">
        <f>7+13</f>
        <v>20</v>
      </c>
      <c r="T49" s="36"/>
      <c r="U49" s="2">
        <v>13</v>
      </c>
      <c r="V49" s="36"/>
      <c r="W49" s="162">
        <v>24</v>
      </c>
      <c r="X49" s="36"/>
      <c r="Y49" s="2">
        <v>7</v>
      </c>
      <c r="Z49" s="36"/>
      <c r="AA49" s="2">
        <f>10+2</f>
        <v>12</v>
      </c>
      <c r="AB49" s="36"/>
      <c r="AC49" s="66"/>
      <c r="AD49" s="131" t="str">
        <f t="shared" si="6"/>
        <v>350X</v>
      </c>
      <c r="AE49" s="2" t="str">
        <f t="shared" si="7"/>
        <v>SUI</v>
      </c>
      <c r="AF49" s="2">
        <f t="shared" si="8"/>
        <v>627</v>
      </c>
    </row>
    <row r="50" spans="1:32" x14ac:dyDescent="0.25">
      <c r="A50" s="131" t="s">
        <v>89</v>
      </c>
      <c r="B50" s="2" t="s">
        <v>82</v>
      </c>
      <c r="C50" s="3">
        <f>9157+215</f>
        <v>9372</v>
      </c>
      <c r="E50" s="2">
        <f>212+5</f>
        <v>217</v>
      </c>
      <c r="F50" s="36"/>
      <c r="G50" s="2">
        <f>190+203</f>
        <v>393</v>
      </c>
      <c r="H50" s="36"/>
      <c r="I50" s="162">
        <f>224+314</f>
        <v>538</v>
      </c>
      <c r="J50" s="36"/>
      <c r="K50" s="2">
        <f>149+7+K142</f>
        <v>244</v>
      </c>
      <c r="L50" s="36"/>
      <c r="M50" s="2">
        <f>143+15</f>
        <v>158</v>
      </c>
      <c r="N50" s="36"/>
      <c r="O50" s="2">
        <f>60+22+O142</f>
        <v>126</v>
      </c>
      <c r="P50" s="36"/>
      <c r="Q50" s="2">
        <f>135+14</f>
        <v>149</v>
      </c>
      <c r="R50" s="36"/>
      <c r="S50" s="162">
        <f>166+277</f>
        <v>443</v>
      </c>
      <c r="T50" s="36"/>
      <c r="U50" s="2">
        <f>260+5</f>
        <v>265</v>
      </c>
      <c r="V50" s="36"/>
      <c r="W50" s="162">
        <f>223+308</f>
        <v>531</v>
      </c>
      <c r="X50" s="36"/>
      <c r="Y50" s="2">
        <f>158+3</f>
        <v>161</v>
      </c>
      <c r="Z50" s="36"/>
      <c r="AA50" s="2">
        <f>218+58</f>
        <v>276</v>
      </c>
      <c r="AB50" s="36"/>
      <c r="AC50" s="66"/>
      <c r="AD50" s="131" t="str">
        <f t="shared" si="6"/>
        <v>360X</v>
      </c>
      <c r="AE50" s="2" t="str">
        <f t="shared" si="7"/>
        <v>W/C</v>
      </c>
      <c r="AF50" s="2">
        <f t="shared" si="8"/>
        <v>12873</v>
      </c>
    </row>
    <row r="51" spans="1:32" x14ac:dyDescent="0.25">
      <c r="A51" s="131" t="s">
        <v>91</v>
      </c>
      <c r="B51" s="2" t="s">
        <v>93</v>
      </c>
      <c r="C51" s="3">
        <v>5685</v>
      </c>
      <c r="E51" s="2">
        <v>0</v>
      </c>
      <c r="F51" s="36"/>
      <c r="G51" s="2">
        <v>0</v>
      </c>
      <c r="H51" s="36"/>
      <c r="I51" s="162">
        <v>0</v>
      </c>
      <c r="J51" s="36"/>
      <c r="K51" s="2">
        <v>0</v>
      </c>
      <c r="L51" s="36"/>
      <c r="M51" s="2">
        <v>0</v>
      </c>
      <c r="N51" s="36"/>
      <c r="O51" s="2">
        <v>0</v>
      </c>
      <c r="P51" s="36"/>
      <c r="Q51" s="2">
        <v>0</v>
      </c>
      <c r="R51" s="36"/>
      <c r="S51" s="162">
        <v>0</v>
      </c>
      <c r="T51" s="36"/>
      <c r="U51" s="2">
        <v>0</v>
      </c>
      <c r="V51" s="36"/>
      <c r="W51" s="162">
        <v>0</v>
      </c>
      <c r="X51" s="36"/>
      <c r="Y51" s="2">
        <v>0</v>
      </c>
      <c r="Z51" s="36"/>
      <c r="AA51" s="2">
        <v>0</v>
      </c>
      <c r="AB51" s="36"/>
      <c r="AC51" s="66"/>
      <c r="AD51" s="131" t="str">
        <f t="shared" ref="AD51" si="9">A51</f>
        <v>390X</v>
      </c>
      <c r="AE51" s="2" t="str">
        <f t="shared" ref="AE51" si="10">B51</f>
        <v>Other Benefits</v>
      </c>
      <c r="AF51" s="2">
        <f>SUM(C51,E51,G51,I51,K51,M51,O51,Q51,S51,U51,W51,Y51,AA51)</f>
        <v>5685</v>
      </c>
    </row>
    <row r="52" spans="1:32" x14ac:dyDescent="0.25">
      <c r="A52" s="131"/>
      <c r="F52" s="36"/>
      <c r="H52" s="36"/>
      <c r="J52" s="36"/>
      <c r="L52" s="36"/>
      <c r="N52" s="36"/>
      <c r="P52" s="36"/>
      <c r="R52" s="36"/>
      <c r="T52" s="36"/>
      <c r="V52" s="36"/>
      <c r="X52" s="36"/>
      <c r="Z52" s="36"/>
      <c r="AB52" s="36"/>
      <c r="AC52" s="66"/>
      <c r="AD52" s="131"/>
    </row>
    <row r="53" spans="1:32" x14ac:dyDescent="0.25">
      <c r="A53" s="131"/>
      <c r="C53" s="8">
        <f>SUM(C44:C52)</f>
        <v>240735</v>
      </c>
      <c r="D53" s="33"/>
      <c r="E53" s="8">
        <f>SUM(E44:E52)</f>
        <v>3034</v>
      </c>
      <c r="F53" s="5"/>
      <c r="G53" s="8">
        <f>SUM(G44:G52)</f>
        <v>7492</v>
      </c>
      <c r="H53" s="5"/>
      <c r="I53" s="1200">
        <f>SUM(I44:I52)</f>
        <v>8526</v>
      </c>
      <c r="J53" s="5"/>
      <c r="K53" s="8">
        <f>SUM(K44:K52)</f>
        <v>3393</v>
      </c>
      <c r="L53" s="5"/>
      <c r="M53" s="8">
        <f>SUM(M44:M52)</f>
        <v>2284</v>
      </c>
      <c r="N53" s="5"/>
      <c r="O53" s="8">
        <f>SUM(O44:O52)</f>
        <v>1909</v>
      </c>
      <c r="P53" s="5"/>
      <c r="Q53" s="8">
        <f>SUM(Q44:Q52)</f>
        <v>2191</v>
      </c>
      <c r="R53" s="5"/>
      <c r="S53" s="1200">
        <f>SUM(S44:S52)</f>
        <v>8028</v>
      </c>
      <c r="T53" s="5"/>
      <c r="U53" s="8">
        <f>SUM(U44:U52)</f>
        <v>3702</v>
      </c>
      <c r="V53" s="5"/>
      <c r="W53" s="1200">
        <f>SUM(W44:W52)</f>
        <v>14143</v>
      </c>
      <c r="X53" s="5"/>
      <c r="Y53" s="8">
        <f>SUM(Y44:Y52)</f>
        <v>2217</v>
      </c>
      <c r="Z53" s="5"/>
      <c r="AA53" s="8">
        <f>SUM(AA44:AA52)</f>
        <v>4199</v>
      </c>
      <c r="AB53" s="5"/>
      <c r="AC53" s="29"/>
      <c r="AD53" s="131"/>
      <c r="AF53" s="8">
        <f>SUM(AF44:AF52)</f>
        <v>301853</v>
      </c>
    </row>
    <row r="54" spans="1:32" x14ac:dyDescent="0.25">
      <c r="A54" s="131"/>
      <c r="C54" s="9"/>
      <c r="D54" s="33"/>
      <c r="E54" s="10"/>
      <c r="F54" s="6"/>
      <c r="G54" s="10"/>
      <c r="H54" s="6"/>
      <c r="I54" s="907"/>
      <c r="J54" s="6"/>
      <c r="K54" s="10"/>
      <c r="L54" s="6"/>
      <c r="M54" s="10"/>
      <c r="N54" s="6"/>
      <c r="O54" s="10"/>
      <c r="P54" s="6"/>
      <c r="Q54" s="10"/>
      <c r="R54" s="6"/>
      <c r="S54" s="907"/>
      <c r="T54" s="6"/>
      <c r="U54" s="10"/>
      <c r="V54" s="6"/>
      <c r="W54" s="907"/>
      <c r="X54" s="6"/>
      <c r="Y54" s="10"/>
      <c r="Z54" s="6"/>
      <c r="AA54" s="10"/>
      <c r="AB54" s="6"/>
      <c r="AC54" s="57"/>
      <c r="AD54" s="131"/>
    </row>
    <row r="55" spans="1:32" x14ac:dyDescent="0.25">
      <c r="A55" s="127" t="s">
        <v>26</v>
      </c>
      <c r="C55" s="8">
        <f>SUM(C53,C41,C30)</f>
        <v>1158951</v>
      </c>
      <c r="D55" s="33"/>
      <c r="E55" s="8">
        <f>SUM(E53,E41,E30)</f>
        <v>8244</v>
      </c>
      <c r="F55" s="5"/>
      <c r="G55" s="8">
        <f>SUM(G53,G41,G30)</f>
        <v>31214</v>
      </c>
      <c r="H55" s="5"/>
      <c r="I55" s="1200">
        <f>SUM(I53,I41,I30)</f>
        <v>57467</v>
      </c>
      <c r="J55" s="5"/>
      <c r="K55" s="8">
        <f>SUM(K53,K41,K30)</f>
        <v>25230</v>
      </c>
      <c r="L55" s="5"/>
      <c r="M55" s="8">
        <f>SUM(M53,M41,M30)</f>
        <v>16632</v>
      </c>
      <c r="N55" s="5"/>
      <c r="O55" s="8">
        <f>SUM(O53,O41,O30)</f>
        <v>13409</v>
      </c>
      <c r="P55" s="5"/>
      <c r="Q55" s="8">
        <f>SUM(Q53,Q41,Q30)</f>
        <v>15922</v>
      </c>
      <c r="R55" s="5"/>
      <c r="S55" s="1200">
        <f>SUM(S53,S41,S30)</f>
        <v>48349</v>
      </c>
      <c r="T55" s="5"/>
      <c r="U55" s="8">
        <f>SUM(U53,U41,U30)</f>
        <v>15093</v>
      </c>
      <c r="V55" s="5"/>
      <c r="W55" s="1200">
        <f>SUM(W53,W41,W30)</f>
        <v>50701</v>
      </c>
      <c r="X55" s="5"/>
      <c r="Y55" s="8">
        <f>SUM(Y53,Y41,Y30)</f>
        <v>16554</v>
      </c>
      <c r="Z55" s="5"/>
      <c r="AA55" s="8">
        <f>SUM(AA53,AA41,AA30)</f>
        <v>29222</v>
      </c>
      <c r="AB55" s="5"/>
      <c r="AC55" s="29"/>
      <c r="AD55" s="127" t="str">
        <f>A55</f>
        <v>Total Salaries and Benefits</v>
      </c>
      <c r="AF55" s="8">
        <f>SUM(AF53,AF41,AF30)</f>
        <v>1486988</v>
      </c>
    </row>
    <row r="56" spans="1:32" x14ac:dyDescent="0.25">
      <c r="F56" s="36"/>
      <c r="H56" s="36"/>
      <c r="J56" s="36"/>
      <c r="L56" s="36"/>
      <c r="N56" s="36"/>
      <c r="P56" s="36"/>
      <c r="R56" s="36"/>
      <c r="T56" s="36"/>
      <c r="V56" s="36"/>
      <c r="X56" s="36"/>
      <c r="Z56" s="36"/>
      <c r="AB56" s="36"/>
      <c r="AC56" s="66"/>
    </row>
    <row r="57" spans="1:32" x14ac:dyDescent="0.25">
      <c r="F57" s="36"/>
      <c r="H57" s="36"/>
      <c r="J57" s="36"/>
      <c r="L57" s="36"/>
      <c r="N57" s="36"/>
      <c r="P57" s="36"/>
      <c r="R57" s="36"/>
      <c r="T57" s="36"/>
      <c r="V57" s="36"/>
      <c r="X57" s="36"/>
      <c r="Z57" s="36"/>
      <c r="AB57" s="36"/>
      <c r="AC57" s="66"/>
    </row>
    <row r="58" spans="1:32" x14ac:dyDescent="0.25">
      <c r="A58" s="33" t="s">
        <v>25</v>
      </c>
      <c r="B58" s="6"/>
      <c r="F58" s="36"/>
      <c r="H58" s="36"/>
      <c r="J58" s="36"/>
      <c r="L58" s="36"/>
      <c r="N58" s="36"/>
      <c r="P58" s="36"/>
      <c r="R58" s="36"/>
      <c r="T58" s="36"/>
      <c r="V58" s="36"/>
      <c r="X58" s="36"/>
      <c r="Z58" s="36"/>
      <c r="AB58" s="36"/>
      <c r="AC58" s="66"/>
      <c r="AD58" s="33" t="str">
        <f t="shared" ref="AD58:AD65" si="11">A58</f>
        <v>Supplies</v>
      </c>
      <c r="AE58" s="6"/>
    </row>
    <row r="59" spans="1:32" x14ac:dyDescent="0.25">
      <c r="A59" s="131" t="s">
        <v>24</v>
      </c>
      <c r="B59" s="2" t="s">
        <v>23</v>
      </c>
      <c r="C59" s="3">
        <v>4700</v>
      </c>
      <c r="E59" s="2">
        <v>0</v>
      </c>
      <c r="F59" s="36"/>
      <c r="G59" s="2">
        <v>0</v>
      </c>
      <c r="H59" s="36"/>
      <c r="I59" s="162">
        <v>750</v>
      </c>
      <c r="J59" s="36"/>
      <c r="K59" s="2">
        <v>75</v>
      </c>
      <c r="L59" s="36"/>
      <c r="M59" s="2">
        <v>563</v>
      </c>
      <c r="N59" s="36"/>
      <c r="O59" s="2">
        <v>0</v>
      </c>
      <c r="P59" s="36"/>
      <c r="Q59" s="2">
        <v>999</v>
      </c>
      <c r="R59" s="36"/>
      <c r="S59" s="162">
        <v>0</v>
      </c>
      <c r="T59" s="36"/>
      <c r="U59" s="2">
        <v>691</v>
      </c>
      <c r="V59" s="36"/>
      <c r="W59" s="162">
        <v>335</v>
      </c>
      <c r="X59" s="36"/>
      <c r="Y59" s="2">
        <v>0</v>
      </c>
      <c r="Z59" s="36"/>
      <c r="AA59" s="2">
        <v>800</v>
      </c>
      <c r="AB59" s="36"/>
      <c r="AC59" s="66"/>
      <c r="AD59" s="131" t="str">
        <f t="shared" si="11"/>
        <v>4210</v>
      </c>
      <c r="AE59" s="2" t="str">
        <f t="shared" ref="AE59:AE65" si="12">B59</f>
        <v>Other Books</v>
      </c>
      <c r="AF59" s="2">
        <f>SUM(C59,E59,G59,I59,K59,M59,O59,Q59,S59,U59,W59,Y59,AA59)</f>
        <v>8913</v>
      </c>
    </row>
    <row r="60" spans="1:32" x14ac:dyDescent="0.25">
      <c r="A60" s="131" t="s">
        <v>94</v>
      </c>
      <c r="B60" s="2" t="s">
        <v>96</v>
      </c>
      <c r="C60" s="3">
        <v>0</v>
      </c>
      <c r="E60" s="2">
        <v>0</v>
      </c>
      <c r="F60" s="36"/>
      <c r="G60" s="2">
        <v>160</v>
      </c>
      <c r="H60" s="36"/>
      <c r="I60" s="162">
        <v>0</v>
      </c>
      <c r="J60" s="36"/>
      <c r="K60" s="2">
        <v>0</v>
      </c>
      <c r="L60" s="36"/>
      <c r="M60" s="2">
        <v>31580</v>
      </c>
      <c r="N60" s="36"/>
      <c r="O60" s="2">
        <v>0</v>
      </c>
      <c r="P60" s="36"/>
      <c r="Q60" s="2">
        <v>0</v>
      </c>
      <c r="R60" s="36"/>
      <c r="S60" s="162">
        <v>0</v>
      </c>
      <c r="T60" s="36"/>
      <c r="U60" s="2">
        <v>0</v>
      </c>
      <c r="V60" s="36"/>
      <c r="W60" s="162">
        <v>0</v>
      </c>
      <c r="X60" s="36"/>
      <c r="Y60" s="2">
        <v>0</v>
      </c>
      <c r="Z60" s="36"/>
      <c r="AA60" s="2">
        <v>0</v>
      </c>
      <c r="AB60" s="36"/>
      <c r="AC60" s="66"/>
      <c r="AD60" s="131" t="str">
        <f t="shared" si="11"/>
        <v>4211</v>
      </c>
      <c r="AE60" s="2" t="str">
        <f t="shared" si="12"/>
        <v>Reference Books</v>
      </c>
      <c r="AF60" s="2">
        <f t="shared" ref="AF60:AF65" si="13">SUM(C60,E60,G60,I60,K60,M60,O60,Q60,S60,U60,W60,Y60,AA60)</f>
        <v>31740</v>
      </c>
    </row>
    <row r="61" spans="1:32" x14ac:dyDescent="0.25">
      <c r="A61" s="131" t="s">
        <v>95</v>
      </c>
      <c r="B61" s="2" t="s">
        <v>97</v>
      </c>
      <c r="C61" s="3">
        <v>0</v>
      </c>
      <c r="E61" s="2">
        <v>0</v>
      </c>
      <c r="F61" s="36"/>
      <c r="G61" s="2">
        <v>0</v>
      </c>
      <c r="H61" s="36"/>
      <c r="I61" s="162">
        <v>0</v>
      </c>
      <c r="J61" s="36"/>
      <c r="K61" s="2">
        <v>2747</v>
      </c>
      <c r="L61" s="36"/>
      <c r="M61" s="2">
        <v>0</v>
      </c>
      <c r="N61" s="36"/>
      <c r="O61" s="2">
        <v>0</v>
      </c>
      <c r="P61" s="36"/>
      <c r="Q61" s="2">
        <v>0</v>
      </c>
      <c r="R61" s="36"/>
      <c r="S61" s="162">
        <v>0</v>
      </c>
      <c r="T61" s="36"/>
      <c r="U61" s="2">
        <v>0</v>
      </c>
      <c r="V61" s="36"/>
      <c r="W61" s="162">
        <v>0</v>
      </c>
      <c r="X61" s="36"/>
      <c r="Y61" s="2">
        <v>0</v>
      </c>
      <c r="Z61" s="36"/>
      <c r="AA61" s="2">
        <v>0</v>
      </c>
      <c r="AB61" s="36"/>
      <c r="AC61" s="66"/>
      <c r="AD61" s="131" t="str">
        <f t="shared" si="11"/>
        <v>4212</v>
      </c>
      <c r="AE61" s="2" t="str">
        <f t="shared" si="12"/>
        <v>Library Books</v>
      </c>
      <c r="AF61" s="2">
        <f t="shared" si="13"/>
        <v>2747</v>
      </c>
    </row>
    <row r="62" spans="1:32" x14ac:dyDescent="0.25">
      <c r="A62" s="131" t="s">
        <v>22</v>
      </c>
      <c r="B62" s="2" t="s">
        <v>21</v>
      </c>
      <c r="C62" s="3">
        <v>10944</v>
      </c>
      <c r="E62" s="2">
        <v>27172.23</v>
      </c>
      <c r="F62" s="36"/>
      <c r="G62" s="2">
        <f>28979+G135+G151</f>
        <v>50019</v>
      </c>
      <c r="H62" s="36"/>
      <c r="I62" s="162">
        <v>51238</v>
      </c>
      <c r="J62" s="36"/>
      <c r="K62" s="2">
        <f>23641+K135</f>
        <v>48641</v>
      </c>
      <c r="L62" s="36"/>
      <c r="M62" s="2">
        <v>0</v>
      </c>
      <c r="N62" s="36"/>
      <c r="O62" s="2">
        <v>94881</v>
      </c>
      <c r="P62" s="36"/>
      <c r="Q62" s="2">
        <f>34526+Q135+Q138+Q151</f>
        <v>66426</v>
      </c>
      <c r="R62" s="36"/>
      <c r="S62" s="162">
        <v>32648</v>
      </c>
      <c r="T62" s="36"/>
      <c r="U62" s="2">
        <v>38127</v>
      </c>
      <c r="V62" s="36"/>
      <c r="W62" s="162">
        <v>31924</v>
      </c>
      <c r="X62" s="36"/>
      <c r="Y62" s="2">
        <v>25349</v>
      </c>
      <c r="Z62" s="36"/>
      <c r="AA62" s="2">
        <v>22677</v>
      </c>
      <c r="AB62" s="36"/>
      <c r="AC62" s="66"/>
      <c r="AD62" s="131" t="str">
        <f t="shared" si="11"/>
        <v>4310</v>
      </c>
      <c r="AE62" s="2" t="str">
        <f t="shared" si="12"/>
        <v>Inst. Materials</v>
      </c>
      <c r="AF62" s="2">
        <f t="shared" si="13"/>
        <v>500046.23</v>
      </c>
    </row>
    <row r="63" spans="1:32" x14ac:dyDescent="0.25">
      <c r="A63" s="131" t="s">
        <v>20</v>
      </c>
      <c r="B63" s="2" t="s">
        <v>19</v>
      </c>
      <c r="C63" s="3">
        <v>9400</v>
      </c>
      <c r="E63" s="2">
        <v>0</v>
      </c>
      <c r="F63" s="36"/>
      <c r="G63" s="2">
        <v>255</v>
      </c>
      <c r="H63" s="36"/>
      <c r="I63" s="162">
        <v>653</v>
      </c>
      <c r="J63" s="36"/>
      <c r="K63" s="2">
        <v>0</v>
      </c>
      <c r="L63" s="36"/>
      <c r="M63" s="2">
        <v>100</v>
      </c>
      <c r="N63" s="36"/>
      <c r="O63" s="2">
        <v>0</v>
      </c>
      <c r="P63" s="36"/>
      <c r="Q63" s="2">
        <v>1250</v>
      </c>
      <c r="R63" s="36"/>
      <c r="S63" s="162">
        <v>7996</v>
      </c>
      <c r="T63" s="36"/>
      <c r="U63" s="2">
        <v>245</v>
      </c>
      <c r="V63" s="36"/>
      <c r="W63" s="162">
        <v>2000</v>
      </c>
      <c r="X63" s="36"/>
      <c r="Y63" s="2">
        <v>3642</v>
      </c>
      <c r="Z63" s="36"/>
      <c r="AA63" s="2">
        <v>350</v>
      </c>
      <c r="AB63" s="36"/>
      <c r="AC63" s="66"/>
      <c r="AD63" s="131" t="str">
        <f t="shared" si="11"/>
        <v xml:space="preserve">4353 </v>
      </c>
      <c r="AE63" s="2" t="str">
        <f t="shared" si="12"/>
        <v>Non-Inst. Materials</v>
      </c>
      <c r="AF63" s="2">
        <f t="shared" si="13"/>
        <v>25891</v>
      </c>
    </row>
    <row r="64" spans="1:32" x14ac:dyDescent="0.25">
      <c r="A64" s="131" t="s">
        <v>18</v>
      </c>
      <c r="B64" s="2" t="s">
        <v>17</v>
      </c>
      <c r="C64" s="3">
        <v>785</v>
      </c>
      <c r="E64" s="2">
        <v>4707.72</v>
      </c>
      <c r="F64" s="36"/>
      <c r="G64" s="2">
        <f>7216+G136</f>
        <v>10716</v>
      </c>
      <c r="H64" s="36"/>
      <c r="I64" s="162">
        <v>14879</v>
      </c>
      <c r="J64" s="36"/>
      <c r="K64" s="2">
        <f>+K136</f>
        <v>4794</v>
      </c>
      <c r="L64" s="36"/>
      <c r="M64" s="2">
        <v>6198</v>
      </c>
      <c r="N64" s="36"/>
      <c r="O64" s="2">
        <f>+O136</f>
        <v>4397</v>
      </c>
      <c r="P64" s="36"/>
      <c r="Q64" s="2">
        <f>1573+Q136</f>
        <v>4720</v>
      </c>
      <c r="R64" s="36"/>
      <c r="S64" s="162">
        <v>2737</v>
      </c>
      <c r="T64" s="36"/>
      <c r="U64" s="2">
        <v>4989</v>
      </c>
      <c r="V64" s="36"/>
      <c r="W64" s="162">
        <v>3000</v>
      </c>
      <c r="X64" s="36"/>
      <c r="Y64" s="2">
        <v>0</v>
      </c>
      <c r="Z64" s="36"/>
      <c r="AA64" s="2">
        <v>0</v>
      </c>
      <c r="AB64" s="36"/>
      <c r="AC64" s="66"/>
      <c r="AD64" s="131" t="str">
        <f t="shared" si="11"/>
        <v>4400</v>
      </c>
      <c r="AE64" s="2" t="str">
        <f t="shared" si="12"/>
        <v>Non-cap. Equipment</v>
      </c>
      <c r="AF64" s="2">
        <f t="shared" si="13"/>
        <v>61922.720000000001</v>
      </c>
    </row>
    <row r="65" spans="1:32" x14ac:dyDescent="0.25">
      <c r="A65" s="131"/>
      <c r="B65" s="126"/>
      <c r="C65" s="3">
        <v>0</v>
      </c>
      <c r="E65" s="2">
        <v>0</v>
      </c>
      <c r="F65" s="36"/>
      <c r="G65" s="2">
        <v>0</v>
      </c>
      <c r="H65" s="36"/>
      <c r="I65" s="162">
        <v>0</v>
      </c>
      <c r="J65" s="36"/>
      <c r="K65" s="2">
        <v>0</v>
      </c>
      <c r="L65" s="36"/>
      <c r="M65" s="2">
        <v>0</v>
      </c>
      <c r="N65" s="36"/>
      <c r="O65" s="2">
        <v>0</v>
      </c>
      <c r="P65" s="36"/>
      <c r="Q65" s="2">
        <v>0</v>
      </c>
      <c r="R65" s="36"/>
      <c r="S65" s="162">
        <v>0</v>
      </c>
      <c r="T65" s="36"/>
      <c r="U65" s="2">
        <v>0</v>
      </c>
      <c r="V65" s="36"/>
      <c r="W65" s="162">
        <v>0</v>
      </c>
      <c r="X65" s="36"/>
      <c r="Y65" s="2">
        <v>0</v>
      </c>
      <c r="Z65" s="36"/>
      <c r="AA65" s="2">
        <v>0</v>
      </c>
      <c r="AB65" s="36"/>
      <c r="AC65" s="66"/>
      <c r="AD65" s="131">
        <f t="shared" si="11"/>
        <v>0</v>
      </c>
      <c r="AE65" s="126">
        <f t="shared" si="12"/>
        <v>0</v>
      </c>
      <c r="AF65" s="2">
        <f t="shared" si="13"/>
        <v>0</v>
      </c>
    </row>
    <row r="66" spans="1:32" x14ac:dyDescent="0.25">
      <c r="A66" s="2"/>
      <c r="C66" s="8">
        <f>SUM(C59:C65)</f>
        <v>25829</v>
      </c>
      <c r="D66" s="33"/>
      <c r="E66" s="8">
        <f>SUM(E59:E65)</f>
        <v>31879.95</v>
      </c>
      <c r="F66" s="5"/>
      <c r="G66" s="8">
        <f>SUM(G59:G65)</f>
        <v>61150</v>
      </c>
      <c r="H66" s="5"/>
      <c r="I66" s="1200">
        <f>SUM(I59:I65)</f>
        <v>67520</v>
      </c>
      <c r="J66" s="5"/>
      <c r="K66" s="8">
        <f>SUM(K59:K65)</f>
        <v>56257</v>
      </c>
      <c r="L66" s="5"/>
      <c r="M66" s="8">
        <f>SUM(M59:M65)</f>
        <v>38441</v>
      </c>
      <c r="N66" s="5"/>
      <c r="O66" s="8">
        <f>SUM(O59:O65)</f>
        <v>99278</v>
      </c>
      <c r="P66" s="5"/>
      <c r="Q66" s="8">
        <f>SUM(Q59:Q65)</f>
        <v>73395</v>
      </c>
      <c r="R66" s="5"/>
      <c r="S66" s="1200">
        <f>SUM(S59:S65)</f>
        <v>43381</v>
      </c>
      <c r="T66" s="5"/>
      <c r="U66" s="8">
        <f>SUM(U59:U65)</f>
        <v>44052</v>
      </c>
      <c r="V66" s="5"/>
      <c r="W66" s="1200">
        <f>SUM(W59:W65)</f>
        <v>37259</v>
      </c>
      <c r="X66" s="5"/>
      <c r="Y66" s="8">
        <f>SUM(Y59:Y65)</f>
        <v>28991</v>
      </c>
      <c r="Z66" s="5"/>
      <c r="AA66" s="8">
        <f>SUM(AA59:AA65)</f>
        <v>23827</v>
      </c>
      <c r="AB66" s="5"/>
      <c r="AC66" s="29"/>
      <c r="AD66" s="2"/>
      <c r="AF66" s="8">
        <f>SUM(AF59:AF65)</f>
        <v>631259.94999999995</v>
      </c>
    </row>
    <row r="67" spans="1:32" x14ac:dyDescent="0.25">
      <c r="F67" s="36"/>
      <c r="H67" s="36"/>
      <c r="J67" s="36"/>
      <c r="L67" s="36"/>
      <c r="N67" s="36"/>
      <c r="P67" s="36"/>
      <c r="R67" s="36"/>
      <c r="T67" s="36"/>
      <c r="V67" s="36"/>
      <c r="X67" s="36"/>
      <c r="Z67" s="36"/>
      <c r="AB67" s="36"/>
      <c r="AC67" s="66"/>
    </row>
    <row r="68" spans="1:32" s="6" customFormat="1" x14ac:dyDescent="0.25">
      <c r="A68" s="127" t="s">
        <v>16</v>
      </c>
      <c r="D68" s="33"/>
      <c r="I68" s="1201"/>
      <c r="S68" s="1201"/>
      <c r="W68" s="1201"/>
      <c r="AC68" s="57"/>
      <c r="AD68" s="127" t="str">
        <f t="shared" ref="AD68:AD81" si="14">A68</f>
        <v>Services, Other Oprtng Exp.</v>
      </c>
    </row>
    <row r="69" spans="1:32" x14ac:dyDescent="0.25">
      <c r="A69" s="131" t="s">
        <v>15</v>
      </c>
      <c r="B69" s="2" t="s">
        <v>14</v>
      </c>
      <c r="C69" s="3">
        <v>290288</v>
      </c>
      <c r="E69" s="2">
        <v>775.44</v>
      </c>
      <c r="F69" s="36"/>
      <c r="G69" s="2">
        <v>0</v>
      </c>
      <c r="H69" s="36"/>
      <c r="I69" s="162">
        <v>12000</v>
      </c>
      <c r="J69" s="36"/>
      <c r="K69" s="2">
        <v>9000</v>
      </c>
      <c r="L69" s="36"/>
      <c r="M69" s="2">
        <v>7500</v>
      </c>
      <c r="N69" s="36"/>
      <c r="O69" s="2">
        <v>1971</v>
      </c>
      <c r="P69" s="36"/>
      <c r="Q69" s="2">
        <v>6631</v>
      </c>
      <c r="R69" s="36"/>
      <c r="S69" s="162">
        <v>4000</v>
      </c>
      <c r="T69" s="36"/>
      <c r="U69" s="2">
        <v>3526</v>
      </c>
      <c r="V69" s="36"/>
      <c r="W69" s="162">
        <v>6500</v>
      </c>
      <c r="X69" s="36"/>
      <c r="Y69" s="2">
        <v>800</v>
      </c>
      <c r="Z69" s="36"/>
      <c r="AA69" s="2">
        <v>7000</v>
      </c>
      <c r="AB69" s="36"/>
      <c r="AC69" s="66"/>
      <c r="AD69" s="131" t="str">
        <f t="shared" si="14"/>
        <v>5213</v>
      </c>
      <c r="AE69" s="2" t="str">
        <f t="shared" ref="AE69:AE82" si="15">B69</f>
        <v>Conf. &amp; Travel</v>
      </c>
      <c r="AF69" s="2">
        <f>SUM(C69,E69,G69,I69,K69,M69,O69,Q69,S69,U69,W69,Y69,AA69)</f>
        <v>349991.44</v>
      </c>
    </row>
    <row r="70" spans="1:32" x14ac:dyDescent="0.25">
      <c r="A70" s="131" t="s">
        <v>13</v>
      </c>
      <c r="B70" s="2" t="s">
        <v>12</v>
      </c>
      <c r="C70" s="3">
        <v>800</v>
      </c>
      <c r="E70" s="2">
        <v>0</v>
      </c>
      <c r="F70" s="36"/>
      <c r="G70" s="2">
        <v>0</v>
      </c>
      <c r="H70" s="36"/>
      <c r="I70" s="162">
        <v>0</v>
      </c>
      <c r="J70" s="36"/>
      <c r="K70" s="2">
        <v>0</v>
      </c>
      <c r="L70" s="36"/>
      <c r="M70" s="2">
        <v>0</v>
      </c>
      <c r="N70" s="36"/>
      <c r="O70" s="2">
        <v>0</v>
      </c>
      <c r="P70" s="36"/>
      <c r="Q70" s="2">
        <v>0</v>
      </c>
      <c r="R70" s="36"/>
      <c r="S70" s="162">
        <v>0</v>
      </c>
      <c r="T70" s="36"/>
      <c r="U70" s="2">
        <v>0</v>
      </c>
      <c r="V70" s="36"/>
      <c r="W70" s="162">
        <v>0</v>
      </c>
      <c r="X70" s="36"/>
      <c r="Y70" s="2">
        <v>0</v>
      </c>
      <c r="Z70" s="36"/>
      <c r="AA70" s="2">
        <v>0</v>
      </c>
      <c r="AB70" s="36"/>
      <c r="AC70" s="66"/>
      <c r="AD70" s="131" t="str">
        <f t="shared" si="14"/>
        <v>5310</v>
      </c>
      <c r="AE70" s="2" t="str">
        <f t="shared" si="15"/>
        <v>Membership/Dues</v>
      </c>
      <c r="AF70" s="2">
        <f t="shared" ref="AF70:AF81" si="16">SUM(C70,E70,G70,I70,K70,M70,O70,Q70,S70,U70,W70,Y70,AA70)</f>
        <v>800</v>
      </c>
    </row>
    <row r="71" spans="1:32" x14ac:dyDescent="0.25">
      <c r="A71" s="131" t="s">
        <v>128</v>
      </c>
      <c r="B71" s="2" t="s">
        <v>129</v>
      </c>
      <c r="C71" s="3">
        <v>0</v>
      </c>
      <c r="E71" s="2">
        <v>0</v>
      </c>
      <c r="F71" s="36"/>
      <c r="G71" s="2">
        <v>0</v>
      </c>
      <c r="H71" s="36"/>
      <c r="I71" s="162">
        <v>0</v>
      </c>
      <c r="J71" s="36"/>
      <c r="K71" s="2">
        <v>0</v>
      </c>
      <c r="L71" s="36"/>
      <c r="M71" s="2">
        <v>0</v>
      </c>
      <c r="N71" s="36"/>
      <c r="O71" s="2">
        <v>0</v>
      </c>
      <c r="P71" s="36"/>
      <c r="Q71" s="2">
        <v>0</v>
      </c>
      <c r="R71" s="36"/>
      <c r="S71" s="162">
        <v>0</v>
      </c>
      <c r="T71" s="36"/>
      <c r="U71" s="2">
        <v>0</v>
      </c>
      <c r="V71" s="36"/>
      <c r="W71" s="162">
        <v>1500</v>
      </c>
      <c r="X71" s="36"/>
      <c r="Z71" s="36"/>
      <c r="AB71" s="36"/>
      <c r="AC71" s="66"/>
      <c r="AD71" s="131" t="str">
        <f t="shared" si="14"/>
        <v>5607</v>
      </c>
      <c r="AE71" s="2" t="str">
        <f t="shared" si="15"/>
        <v>Repairs-Other</v>
      </c>
      <c r="AF71" s="2">
        <f t="shared" si="16"/>
        <v>1500</v>
      </c>
    </row>
    <row r="72" spans="1:32" x14ac:dyDescent="0.25">
      <c r="A72" s="131" t="s">
        <v>11</v>
      </c>
      <c r="B72" s="2" t="s">
        <v>10</v>
      </c>
      <c r="C72" s="3">
        <v>3199</v>
      </c>
      <c r="E72" s="2">
        <v>0</v>
      </c>
      <c r="F72" s="36"/>
      <c r="G72" s="2">
        <f>+G152</f>
        <v>500</v>
      </c>
      <c r="H72" s="36"/>
      <c r="I72" s="162">
        <v>0</v>
      </c>
      <c r="J72" s="36"/>
      <c r="K72" s="2">
        <v>0</v>
      </c>
      <c r="L72" s="36"/>
      <c r="M72" s="2">
        <v>0</v>
      </c>
      <c r="N72" s="36"/>
      <c r="O72" s="2">
        <v>0</v>
      </c>
      <c r="P72" s="36"/>
      <c r="Q72" s="2">
        <v>1500</v>
      </c>
      <c r="R72" s="36"/>
      <c r="S72" s="162">
        <v>0</v>
      </c>
      <c r="T72" s="36"/>
      <c r="U72" s="2">
        <v>0</v>
      </c>
      <c r="V72" s="36"/>
      <c r="W72" s="162">
        <v>0</v>
      </c>
      <c r="X72" s="36"/>
      <c r="Y72" s="2">
        <v>0</v>
      </c>
      <c r="Z72" s="36"/>
      <c r="AA72" s="2">
        <v>0</v>
      </c>
      <c r="AB72" s="36"/>
      <c r="AC72" s="66"/>
      <c r="AD72" s="131" t="str">
        <f t="shared" si="14"/>
        <v>5725</v>
      </c>
      <c r="AE72" s="2" t="str">
        <f t="shared" si="15"/>
        <v>Field Trip Transp.</v>
      </c>
      <c r="AF72" s="2">
        <f t="shared" si="16"/>
        <v>5199</v>
      </c>
    </row>
    <row r="73" spans="1:32" x14ac:dyDescent="0.25">
      <c r="A73" s="131" t="s">
        <v>120</v>
      </c>
      <c r="B73" s="2" t="s">
        <v>121</v>
      </c>
      <c r="C73" s="3">
        <v>0</v>
      </c>
      <c r="E73" s="2">
        <v>0</v>
      </c>
      <c r="F73" s="36"/>
      <c r="G73" s="2">
        <v>0</v>
      </c>
      <c r="H73" s="36"/>
      <c r="I73" s="162">
        <v>0</v>
      </c>
      <c r="J73" s="36"/>
      <c r="K73" s="2">
        <v>0</v>
      </c>
      <c r="L73" s="36"/>
      <c r="M73" s="2">
        <v>0</v>
      </c>
      <c r="N73" s="36"/>
      <c r="O73" s="2">
        <v>0</v>
      </c>
      <c r="P73" s="36"/>
      <c r="Q73" s="2">
        <v>750</v>
      </c>
      <c r="R73" s="36"/>
      <c r="S73" s="162">
        <v>4000</v>
      </c>
      <c r="T73" s="36"/>
      <c r="U73" s="2">
        <v>0</v>
      </c>
      <c r="V73" s="36"/>
      <c r="X73" s="36"/>
      <c r="Z73" s="36"/>
      <c r="AB73" s="36"/>
      <c r="AC73" s="66"/>
      <c r="AD73" s="131" t="str">
        <f t="shared" si="14"/>
        <v>5752</v>
      </c>
      <c r="AE73" s="2" t="str">
        <f t="shared" si="15"/>
        <v>Direct Srvc-Food Srvc.</v>
      </c>
      <c r="AF73" s="2">
        <f t="shared" si="16"/>
        <v>4750</v>
      </c>
    </row>
    <row r="74" spans="1:32" x14ac:dyDescent="0.25">
      <c r="A74" s="131" t="s">
        <v>126</v>
      </c>
      <c r="B74" s="2" t="s">
        <v>127</v>
      </c>
      <c r="C74" s="3">
        <v>0</v>
      </c>
      <c r="E74" s="2">
        <v>0</v>
      </c>
      <c r="F74" s="36"/>
      <c r="G74" s="2">
        <v>0</v>
      </c>
      <c r="H74" s="36"/>
      <c r="I74" s="162">
        <v>0</v>
      </c>
      <c r="J74" s="36"/>
      <c r="K74" s="2">
        <v>0</v>
      </c>
      <c r="L74" s="36"/>
      <c r="M74" s="2">
        <v>0</v>
      </c>
      <c r="N74" s="36"/>
      <c r="O74" s="2">
        <v>0</v>
      </c>
      <c r="P74" s="36"/>
      <c r="Q74" s="2">
        <v>0</v>
      </c>
      <c r="R74" s="36"/>
      <c r="S74" s="162">
        <v>0</v>
      </c>
      <c r="T74" s="36"/>
      <c r="U74" s="2">
        <v>640</v>
      </c>
      <c r="V74" s="36"/>
      <c r="X74" s="36"/>
      <c r="Z74" s="36"/>
      <c r="AB74" s="36"/>
      <c r="AC74" s="66"/>
      <c r="AD74" s="131" t="str">
        <f t="shared" si="14"/>
        <v>5806</v>
      </c>
      <c r="AE74" s="2" t="str">
        <f t="shared" si="15"/>
        <v>Outside Interpreter</v>
      </c>
      <c r="AF74" s="2">
        <f t="shared" si="16"/>
        <v>640</v>
      </c>
    </row>
    <row r="75" spans="1:32" x14ac:dyDescent="0.25">
      <c r="A75" s="131" t="s">
        <v>9</v>
      </c>
      <c r="B75" s="2" t="s">
        <v>8</v>
      </c>
      <c r="C75" s="3">
        <v>27678.37</v>
      </c>
      <c r="E75" s="2">
        <v>0</v>
      </c>
      <c r="F75" s="36"/>
      <c r="G75" s="2">
        <v>0</v>
      </c>
      <c r="H75" s="36"/>
      <c r="I75" s="162">
        <v>0</v>
      </c>
      <c r="J75" s="36"/>
      <c r="K75" s="2">
        <v>4950</v>
      </c>
      <c r="L75" s="36"/>
      <c r="M75" s="2">
        <v>0</v>
      </c>
      <c r="N75" s="36"/>
      <c r="O75" s="2">
        <v>0</v>
      </c>
      <c r="P75" s="36"/>
      <c r="Q75" s="2">
        <v>0</v>
      </c>
      <c r="R75" s="36"/>
      <c r="S75" s="162">
        <v>0</v>
      </c>
      <c r="T75" s="36"/>
      <c r="U75" s="2">
        <v>0</v>
      </c>
      <c r="V75" s="36"/>
      <c r="W75" s="162">
        <v>500</v>
      </c>
      <c r="X75" s="36"/>
      <c r="Y75" s="2">
        <v>5572</v>
      </c>
      <c r="Z75" s="36"/>
      <c r="AA75" s="2">
        <v>0</v>
      </c>
      <c r="AB75" s="36"/>
      <c r="AC75" s="66"/>
      <c r="AD75" s="131" t="str">
        <f t="shared" si="14"/>
        <v>5807</v>
      </c>
      <c r="AE75" s="2" t="str">
        <f t="shared" si="15"/>
        <v>Consultants</v>
      </c>
      <c r="AF75" s="2">
        <f t="shared" si="16"/>
        <v>38700.369999999995</v>
      </c>
    </row>
    <row r="76" spans="1:32" x14ac:dyDescent="0.25">
      <c r="A76" s="131" t="s">
        <v>122</v>
      </c>
      <c r="B76" s="2" t="s">
        <v>123</v>
      </c>
      <c r="C76" s="3">
        <v>0</v>
      </c>
      <c r="E76" s="2">
        <v>0</v>
      </c>
      <c r="F76" s="36"/>
      <c r="G76" s="2">
        <v>0</v>
      </c>
      <c r="H76" s="36"/>
      <c r="I76" s="162">
        <v>0</v>
      </c>
      <c r="J76" s="36"/>
      <c r="K76" s="2">
        <v>0</v>
      </c>
      <c r="L76" s="36"/>
      <c r="M76" s="2">
        <v>0</v>
      </c>
      <c r="N76" s="36"/>
      <c r="O76" s="2">
        <v>0</v>
      </c>
      <c r="P76" s="36"/>
      <c r="Q76" s="2">
        <v>390</v>
      </c>
      <c r="R76" s="36"/>
      <c r="S76" s="162">
        <v>0</v>
      </c>
      <c r="T76" s="36"/>
      <c r="U76" s="2">
        <v>0</v>
      </c>
      <c r="V76" s="36"/>
      <c r="W76" s="162">
        <v>0</v>
      </c>
      <c r="X76" s="36"/>
      <c r="Y76" s="2">
        <v>0</v>
      </c>
      <c r="Z76" s="36"/>
      <c r="AB76" s="36"/>
      <c r="AC76" s="66"/>
      <c r="AD76" s="131" t="str">
        <f t="shared" si="14"/>
        <v>5809</v>
      </c>
      <c r="AE76" s="2" t="str">
        <f t="shared" si="15"/>
        <v>Fees</v>
      </c>
      <c r="AF76" s="2">
        <f t="shared" si="16"/>
        <v>390</v>
      </c>
    </row>
    <row r="77" spans="1:32" x14ac:dyDescent="0.25">
      <c r="A77" s="131" t="s">
        <v>7</v>
      </c>
      <c r="B77" s="2" t="s">
        <v>6</v>
      </c>
      <c r="C77" s="3">
        <v>16000</v>
      </c>
      <c r="E77" s="2">
        <v>0</v>
      </c>
      <c r="F77" s="36"/>
      <c r="G77" s="2">
        <v>0</v>
      </c>
      <c r="H77" s="36"/>
      <c r="I77" s="162">
        <v>9922</v>
      </c>
      <c r="J77" s="36"/>
      <c r="K77" s="2">
        <v>2000</v>
      </c>
      <c r="L77" s="36"/>
      <c r="M77" s="2">
        <v>3000</v>
      </c>
      <c r="N77" s="36"/>
      <c r="O77" s="2">
        <v>0</v>
      </c>
      <c r="P77" s="36"/>
      <c r="Q77" s="2">
        <v>1000</v>
      </c>
      <c r="R77" s="36"/>
      <c r="S77" s="162">
        <v>4000</v>
      </c>
      <c r="T77" s="36"/>
      <c r="U77" s="2">
        <v>4450</v>
      </c>
      <c r="V77" s="36"/>
      <c r="W77" s="162">
        <v>300</v>
      </c>
      <c r="X77" s="36"/>
      <c r="Y77" s="2">
        <v>500</v>
      </c>
      <c r="Z77" s="36"/>
      <c r="AA77" s="2">
        <v>3500</v>
      </c>
      <c r="AB77" s="36"/>
      <c r="AC77" s="66"/>
      <c r="AD77" s="131" t="str">
        <f t="shared" si="14"/>
        <v>5813</v>
      </c>
      <c r="AE77" s="2" t="str">
        <f t="shared" si="15"/>
        <v>Outside Services</v>
      </c>
      <c r="AF77" s="2">
        <f t="shared" si="16"/>
        <v>44672</v>
      </c>
    </row>
    <row r="78" spans="1:32" x14ac:dyDescent="0.25">
      <c r="A78" s="131" t="s">
        <v>5</v>
      </c>
      <c r="B78" s="2" t="s">
        <v>4</v>
      </c>
      <c r="C78" s="3">
        <v>24998</v>
      </c>
      <c r="E78" s="2">
        <v>0</v>
      </c>
      <c r="F78" s="36"/>
      <c r="G78" s="2">
        <v>0</v>
      </c>
      <c r="H78" s="36"/>
      <c r="I78" s="162">
        <v>0</v>
      </c>
      <c r="J78" s="36"/>
      <c r="K78" s="2">
        <v>1614</v>
      </c>
      <c r="L78" s="36"/>
      <c r="M78" s="2">
        <v>0</v>
      </c>
      <c r="N78" s="36"/>
      <c r="O78" s="2">
        <v>300</v>
      </c>
      <c r="P78" s="36"/>
      <c r="Q78" s="2">
        <v>500</v>
      </c>
      <c r="R78" s="36"/>
      <c r="S78" s="162">
        <v>2689</v>
      </c>
      <c r="T78" s="36"/>
      <c r="U78" s="2">
        <v>0</v>
      </c>
      <c r="V78" s="36"/>
      <c r="W78" s="162">
        <v>4200</v>
      </c>
      <c r="X78" s="36"/>
      <c r="Y78" s="2">
        <v>1554</v>
      </c>
      <c r="Z78" s="36"/>
      <c r="AA78" s="2">
        <v>0</v>
      </c>
      <c r="AB78" s="36"/>
      <c r="AC78" s="66"/>
      <c r="AD78" s="131" t="str">
        <f t="shared" si="14"/>
        <v>5814</v>
      </c>
      <c r="AE78" s="2" t="str">
        <f t="shared" si="15"/>
        <v>Other Services</v>
      </c>
      <c r="AF78" s="2">
        <f t="shared" si="16"/>
        <v>35855</v>
      </c>
    </row>
    <row r="79" spans="1:32" x14ac:dyDescent="0.25">
      <c r="A79" s="131" t="s">
        <v>3</v>
      </c>
      <c r="B79" s="2" t="s">
        <v>2</v>
      </c>
      <c r="C79" s="3">
        <v>2000</v>
      </c>
      <c r="E79" s="2">
        <v>0</v>
      </c>
      <c r="F79" s="36"/>
      <c r="G79" s="2">
        <v>0</v>
      </c>
      <c r="H79" s="36"/>
      <c r="I79" s="162">
        <v>1700</v>
      </c>
      <c r="J79" s="36"/>
      <c r="K79" s="2">
        <v>0</v>
      </c>
      <c r="L79" s="36"/>
      <c r="M79" s="2">
        <v>0</v>
      </c>
      <c r="N79" s="36"/>
      <c r="O79" s="2">
        <v>0</v>
      </c>
      <c r="P79" s="36"/>
      <c r="Q79" s="2">
        <v>0</v>
      </c>
      <c r="R79" s="36"/>
      <c r="S79" s="162">
        <v>0</v>
      </c>
      <c r="T79" s="36"/>
      <c r="U79" s="2">
        <v>0</v>
      </c>
      <c r="V79" s="36"/>
      <c r="W79" s="162">
        <v>0</v>
      </c>
      <c r="X79" s="36"/>
      <c r="Y79" s="2">
        <v>0</v>
      </c>
      <c r="Z79" s="36"/>
      <c r="AA79" s="2">
        <v>0</v>
      </c>
      <c r="AB79" s="36"/>
      <c r="AC79" s="66"/>
      <c r="AD79" s="131" t="str">
        <f t="shared" si="14"/>
        <v>5817</v>
      </c>
      <c r="AE79" s="2" t="str">
        <f t="shared" si="15"/>
        <v>Outside Transp.</v>
      </c>
      <c r="AF79" s="2">
        <f t="shared" si="16"/>
        <v>3700</v>
      </c>
    </row>
    <row r="80" spans="1:32" x14ac:dyDescent="0.25">
      <c r="A80" s="131" t="s">
        <v>124</v>
      </c>
      <c r="B80" s="2" t="s">
        <v>125</v>
      </c>
      <c r="C80" s="3">
        <v>0</v>
      </c>
      <c r="E80" s="2">
        <v>0</v>
      </c>
      <c r="F80" s="36"/>
      <c r="G80" s="2">
        <v>0</v>
      </c>
      <c r="H80" s="36"/>
      <c r="I80" s="162">
        <v>0</v>
      </c>
      <c r="J80" s="36"/>
      <c r="K80" s="2">
        <v>0</v>
      </c>
      <c r="L80" s="36"/>
      <c r="M80" s="2">
        <v>0</v>
      </c>
      <c r="N80" s="36"/>
      <c r="O80" s="2">
        <v>0</v>
      </c>
      <c r="P80" s="36"/>
      <c r="Q80" s="2">
        <v>200</v>
      </c>
      <c r="R80" s="36"/>
      <c r="S80" s="162">
        <v>200</v>
      </c>
      <c r="T80" s="36"/>
      <c r="U80" s="2">
        <v>0</v>
      </c>
      <c r="V80" s="36"/>
      <c r="X80" s="36"/>
      <c r="Y80" s="2">
        <v>1000</v>
      </c>
      <c r="Z80" s="36"/>
      <c r="AB80" s="36"/>
      <c r="AC80" s="66"/>
      <c r="AD80" s="131" t="str">
        <f t="shared" si="14"/>
        <v>5908</v>
      </c>
      <c r="AE80" s="2" t="str">
        <f t="shared" si="15"/>
        <v>Postage</v>
      </c>
      <c r="AF80" s="2">
        <f t="shared" si="16"/>
        <v>1400</v>
      </c>
    </row>
    <row r="81" spans="1:33" x14ac:dyDescent="0.25">
      <c r="A81" s="131" t="s">
        <v>1</v>
      </c>
      <c r="C81" s="3">
        <v>0</v>
      </c>
      <c r="E81" s="2">
        <v>0</v>
      </c>
      <c r="F81" s="36"/>
      <c r="G81" s="2">
        <v>0</v>
      </c>
      <c r="H81" s="36"/>
      <c r="I81" s="162">
        <v>0</v>
      </c>
      <c r="J81" s="36"/>
      <c r="K81" s="2">
        <v>0</v>
      </c>
      <c r="L81" s="36"/>
      <c r="M81" s="2">
        <v>0</v>
      </c>
      <c r="N81" s="36"/>
      <c r="O81" s="2">
        <v>0</v>
      </c>
      <c r="P81" s="36"/>
      <c r="Q81" s="2">
        <v>0</v>
      </c>
      <c r="R81" s="36"/>
      <c r="S81" s="162">
        <v>0</v>
      </c>
      <c r="T81" s="36"/>
      <c r="U81" s="2">
        <v>0</v>
      </c>
      <c r="V81" s="36"/>
      <c r="W81" s="162">
        <v>0</v>
      </c>
      <c r="X81" s="36"/>
      <c r="Y81" s="2">
        <v>0</v>
      </c>
      <c r="Z81" s="36"/>
      <c r="AA81" s="2">
        <v>0</v>
      </c>
      <c r="AB81" s="36"/>
      <c r="AC81" s="66"/>
      <c r="AD81" s="131" t="str">
        <f t="shared" si="14"/>
        <v>5000</v>
      </c>
      <c r="AE81" s="126">
        <f t="shared" si="15"/>
        <v>0</v>
      </c>
      <c r="AF81" s="2">
        <f t="shared" si="16"/>
        <v>0</v>
      </c>
    </row>
    <row r="82" spans="1:33" x14ac:dyDescent="0.25">
      <c r="C82" s="8">
        <f>SUM(C69:C81)</f>
        <v>364963.37</v>
      </c>
      <c r="D82" s="33"/>
      <c r="E82" s="8">
        <f>SUM(E69:E81)</f>
        <v>775.44</v>
      </c>
      <c r="F82" s="5"/>
      <c r="G82" s="8">
        <f>SUM(G69:G81)</f>
        <v>500</v>
      </c>
      <c r="H82" s="5"/>
      <c r="I82" s="1200">
        <f>SUM(I69:I81)</f>
        <v>23622</v>
      </c>
      <c r="J82" s="5"/>
      <c r="K82" s="8">
        <f>SUM(K69:K81)</f>
        <v>17564</v>
      </c>
      <c r="L82" s="5"/>
      <c r="M82" s="8">
        <f>SUM(M69:M81)</f>
        <v>10500</v>
      </c>
      <c r="N82" s="5"/>
      <c r="O82" s="8">
        <f>SUM(O69:O81)</f>
        <v>2271</v>
      </c>
      <c r="P82" s="5"/>
      <c r="Q82" s="8">
        <f>SUM(Q69:Q81)</f>
        <v>10971</v>
      </c>
      <c r="R82" s="5"/>
      <c r="S82" s="1200">
        <f>SUM(S69:S81)</f>
        <v>14889</v>
      </c>
      <c r="T82" s="5"/>
      <c r="U82" s="8">
        <f>SUM(U69:U81)</f>
        <v>8616</v>
      </c>
      <c r="V82" s="5"/>
      <c r="W82" s="1200">
        <f>SUM(W69:W81)</f>
        <v>13000</v>
      </c>
      <c r="X82" s="5"/>
      <c r="Y82" s="8">
        <f>SUM(Y69:Y81)</f>
        <v>9426</v>
      </c>
      <c r="Z82" s="5"/>
      <c r="AA82" s="8">
        <f>SUM(AA69:AA81)</f>
        <v>10500</v>
      </c>
      <c r="AB82" s="5"/>
      <c r="AC82" s="29"/>
      <c r="AE82" s="126">
        <f t="shared" si="15"/>
        <v>0</v>
      </c>
      <c r="AF82" s="8">
        <f>SUM(AF69:AF81)</f>
        <v>487597.81</v>
      </c>
    </row>
    <row r="83" spans="1:33" x14ac:dyDescent="0.25">
      <c r="A83" s="127"/>
      <c r="F83" s="36"/>
      <c r="H83" s="36"/>
      <c r="J83" s="36"/>
      <c r="L83" s="36"/>
      <c r="N83" s="36"/>
      <c r="P83" s="36"/>
      <c r="R83" s="36"/>
      <c r="T83" s="36"/>
      <c r="V83" s="36"/>
      <c r="X83" s="36"/>
      <c r="Z83" s="36"/>
      <c r="AB83" s="36"/>
      <c r="AC83" s="66"/>
      <c r="AD83" s="127"/>
    </row>
    <row r="84" spans="1:33" x14ac:dyDescent="0.25">
      <c r="F84" s="36"/>
      <c r="H84" s="36"/>
      <c r="J84" s="36"/>
      <c r="L84" s="36"/>
      <c r="N84" s="36"/>
      <c r="P84" s="36"/>
      <c r="R84" s="36"/>
      <c r="T84" s="36"/>
      <c r="V84" s="36"/>
      <c r="X84" s="36"/>
      <c r="Z84" s="36"/>
      <c r="AB84" s="36"/>
      <c r="AC84" s="66"/>
    </row>
    <row r="85" spans="1:33" x14ac:dyDescent="0.25">
      <c r="A85" s="127" t="s">
        <v>0</v>
      </c>
      <c r="C85" s="8">
        <f>SUM(C82,C66,C55,C13)</f>
        <v>1647165.37</v>
      </c>
      <c r="D85" s="33"/>
      <c r="E85" s="8">
        <f>SUM(E82,E66,E55)</f>
        <v>40899.39</v>
      </c>
      <c r="F85" s="5"/>
      <c r="G85" s="8">
        <f>SUM(G82,G66,G55)</f>
        <v>92864</v>
      </c>
      <c r="H85" s="5"/>
      <c r="I85" s="1200">
        <f>SUM(I82,I66,I55)</f>
        <v>148609</v>
      </c>
      <c r="J85" s="5"/>
      <c r="K85" s="8">
        <f>SUM(K82,K66,K55)</f>
        <v>99051</v>
      </c>
      <c r="L85" s="5"/>
      <c r="M85" s="8">
        <f>SUM(M82,M66,M55)</f>
        <v>65573</v>
      </c>
      <c r="N85" s="5"/>
      <c r="O85" s="8">
        <f>SUM(O82,O66,O55)</f>
        <v>114958</v>
      </c>
      <c r="P85" s="5"/>
      <c r="Q85" s="8">
        <f>SUM(Q82,Q66,Q55)</f>
        <v>100288</v>
      </c>
      <c r="R85" s="5"/>
      <c r="S85" s="1200">
        <f>SUM(S82,S66,S55)</f>
        <v>106619</v>
      </c>
      <c r="T85" s="5"/>
      <c r="U85" s="8">
        <f>SUM(U82,U66,U55)</f>
        <v>67761</v>
      </c>
      <c r="V85" s="5"/>
      <c r="W85" s="1200">
        <f>SUM(W82,W66,W55)</f>
        <v>100960</v>
      </c>
      <c r="X85" s="5"/>
      <c r="Y85" s="8">
        <f>SUM(Y82,Y66,Y55)</f>
        <v>54971</v>
      </c>
      <c r="Z85" s="5"/>
      <c r="AA85" s="8">
        <f>SUM(AA82,AA66,AA55)</f>
        <v>63549</v>
      </c>
      <c r="AB85" s="5"/>
      <c r="AC85" s="29"/>
      <c r="AD85" s="127" t="str">
        <f>A85</f>
        <v>TOTAL EXPENDITURES</v>
      </c>
      <c r="AF85" s="8">
        <f>SUM(AF82,AF66,AF55,AF13)</f>
        <v>2703267.76</v>
      </c>
      <c r="AG85" s="2">
        <f>+SUM(C85:AA85)</f>
        <v>2703267.76</v>
      </c>
    </row>
    <row r="86" spans="1:33" x14ac:dyDescent="0.25">
      <c r="F86" s="36"/>
      <c r="H86" s="36"/>
      <c r="J86" s="36"/>
      <c r="L86" s="36"/>
      <c r="N86" s="36"/>
      <c r="P86" s="36"/>
      <c r="R86" s="36"/>
      <c r="T86" s="36"/>
      <c r="V86" s="36"/>
      <c r="X86" s="36"/>
      <c r="Z86" s="36"/>
      <c r="AB86" s="36"/>
      <c r="AC86" s="66"/>
    </row>
    <row r="87" spans="1:33" ht="15.75" x14ac:dyDescent="0.25">
      <c r="B87" s="2" t="s">
        <v>747</v>
      </c>
      <c r="F87" s="36"/>
      <c r="G87" s="2">
        <v>63864</v>
      </c>
      <c r="H87" s="36" t="s">
        <v>187</v>
      </c>
      <c r="J87" s="36"/>
      <c r="K87" s="2">
        <v>60043</v>
      </c>
      <c r="L87" s="36" t="s">
        <v>187</v>
      </c>
      <c r="N87" s="36"/>
      <c r="O87" s="2">
        <v>75954</v>
      </c>
      <c r="P87" s="36" t="s">
        <v>187</v>
      </c>
      <c r="Q87" s="2">
        <v>61288</v>
      </c>
      <c r="R87" s="36" t="s">
        <v>187</v>
      </c>
      <c r="T87" s="36"/>
      <c r="V87" s="36"/>
      <c r="X87" s="36"/>
      <c r="Z87" s="36"/>
      <c r="AB87" s="36"/>
      <c r="AC87" s="66"/>
      <c r="AD87" s="127" t="s">
        <v>138</v>
      </c>
      <c r="AF87" s="119">
        <f>AF11-AF85</f>
        <v>27167.610000000335</v>
      </c>
    </row>
    <row r="88" spans="1:33" x14ac:dyDescent="0.25">
      <c r="B88" s="130" t="s">
        <v>181</v>
      </c>
      <c r="C88" s="97">
        <f>+C85</f>
        <v>1647165.37</v>
      </c>
      <c r="G88" s="2">
        <f>+G85-G87</f>
        <v>29000</v>
      </c>
      <c r="H88" s="2" t="s">
        <v>188</v>
      </c>
      <c r="K88" s="2">
        <f>+K85-K87</f>
        <v>39008</v>
      </c>
      <c r="L88" s="2" t="s">
        <v>188</v>
      </c>
      <c r="O88" s="2">
        <f>+O85-O87</f>
        <v>39004</v>
      </c>
      <c r="P88" s="2" t="s">
        <v>188</v>
      </c>
      <c r="Q88" s="2">
        <f>+Q85-Q87</f>
        <v>39000</v>
      </c>
      <c r="R88" s="2" t="s">
        <v>188</v>
      </c>
      <c r="AD88" s="127"/>
      <c r="AE88" s="37"/>
      <c r="AF88" s="3"/>
    </row>
    <row r="89" spans="1:33" ht="15.75" x14ac:dyDescent="0.25">
      <c r="B89" s="130" t="s">
        <v>180</v>
      </c>
      <c r="C89" s="97">
        <f>SUM(E85,G85,I85,K85,M85,O85,Q85,S85,U85,W85,Y85,AA85)</f>
        <v>1056102.3900000001</v>
      </c>
      <c r="AD89" s="127" t="s">
        <v>136</v>
      </c>
      <c r="AE89" s="127"/>
      <c r="AF89" s="119">
        <f>AF7+AF87</f>
        <v>27167.610000000335</v>
      </c>
    </row>
    <row r="90" spans="1:33" x14ac:dyDescent="0.25">
      <c r="B90" s="99"/>
      <c r="C90" s="390">
        <f>SUM(C88:C89)</f>
        <v>2703267.7600000002</v>
      </c>
      <c r="AE90" s="6"/>
    </row>
    <row r="91" spans="1:33" s="107" customFormat="1" x14ac:dyDescent="0.25">
      <c r="A91" s="391"/>
      <c r="B91" s="392"/>
      <c r="C91" s="393">
        <f>+C11-C90</f>
        <v>27167.60999999987</v>
      </c>
      <c r="D91" s="394"/>
      <c r="I91" s="1202"/>
      <c r="S91" s="1202"/>
      <c r="W91" s="1202"/>
      <c r="AC91" s="395"/>
      <c r="AD91" s="396"/>
    </row>
    <row r="92" spans="1:33" s="1229" customFormat="1" ht="17.25" x14ac:dyDescent="0.4">
      <c r="C92" s="1229" t="str">
        <f>+C19</f>
        <v>200 - DO</v>
      </c>
      <c r="D92" s="35"/>
      <c r="E92" s="1229" t="str">
        <f>+E19</f>
        <v>010 - CFB</v>
      </c>
      <c r="G92" s="1229" t="str">
        <f>+G19</f>
        <v>020 - SH</v>
      </c>
      <c r="I92" s="1229" t="str">
        <f>+I19</f>
        <v>030 - SO</v>
      </c>
      <c r="K92" s="1229" t="str">
        <f>+K19</f>
        <v>040 - ST</v>
      </c>
      <c r="M92" s="1229" t="str">
        <f>+M19</f>
        <v>050 - SC</v>
      </c>
      <c r="O92" s="1229" t="str">
        <f>+O19</f>
        <v>060 - SY</v>
      </c>
      <c r="Q92" s="1229" t="str">
        <f>+Q19</f>
        <v>070 - WO</v>
      </c>
      <c r="S92" s="1229" t="str">
        <f>+S19</f>
        <v>080 - EU</v>
      </c>
      <c r="U92" s="1229" t="str">
        <f>+U19</f>
        <v>090 - OR</v>
      </c>
      <c r="W92" s="1229" t="str">
        <f>+W19</f>
        <v>110 - DS</v>
      </c>
      <c r="Y92" s="1229" t="str">
        <f>+Y19</f>
        <v>120 - MAS</v>
      </c>
      <c r="AA92" s="1229" t="str">
        <f>+AA19</f>
        <v>130 - CR</v>
      </c>
      <c r="AC92" s="1230"/>
      <c r="AE92" s="35"/>
    </row>
    <row r="93" spans="1:33" s="826" customFormat="1" x14ac:dyDescent="0.25">
      <c r="A93" s="1142"/>
      <c r="B93" s="908" t="str">
        <f>"Actuals as of "&amp;TEXT(C17,"mm/dd/yyyy")</f>
        <v>Actuals as of 04/23/2017</v>
      </c>
      <c r="C93" s="1143">
        <v>930477.1</v>
      </c>
      <c r="D93" s="1144"/>
      <c r="E93" s="1143">
        <v>35714.79</v>
      </c>
      <c r="F93" s="1145"/>
      <c r="G93" s="1143">
        <v>57236.46</v>
      </c>
      <c r="H93" s="1145" t="s">
        <v>776</v>
      </c>
      <c r="I93" s="486">
        <v>73443.199999999997</v>
      </c>
      <c r="J93" s="1145"/>
      <c r="K93" s="1143">
        <v>38531.620000000003</v>
      </c>
      <c r="L93" s="1145" t="s">
        <v>776</v>
      </c>
      <c r="M93" s="1143">
        <v>45807.040000000001</v>
      </c>
      <c r="N93" s="1145"/>
      <c r="O93" s="1143">
        <v>9374.16</v>
      </c>
      <c r="P93" s="1145"/>
      <c r="Q93" s="1143">
        <v>56854.27</v>
      </c>
      <c r="R93" s="1145"/>
      <c r="S93" s="486">
        <v>36133.160000000003</v>
      </c>
      <c r="T93" s="1145"/>
      <c r="U93" s="1143">
        <v>46611.59</v>
      </c>
      <c r="V93" s="1145"/>
      <c r="W93" s="486">
        <v>66249.31</v>
      </c>
      <c r="X93" s="1145"/>
      <c r="Y93" s="1143">
        <v>28964.639999999999</v>
      </c>
      <c r="Z93" s="1145"/>
      <c r="AA93" s="1143">
        <v>22021.87</v>
      </c>
      <c r="AB93" s="1145"/>
      <c r="AC93" s="1146"/>
      <c r="AD93" s="908"/>
      <c r="AE93" s="908" t="str">
        <f>B93</f>
        <v>Actuals as of 04/23/2017</v>
      </c>
      <c r="AF93" s="826">
        <f>SUM(C93,E93,G93,I93,K93,M93,O93,Q93,S93,U93,W93,Y93,AA93)</f>
        <v>1447419.2100000002</v>
      </c>
    </row>
    <row r="94" spans="1:33" s="826" customFormat="1" x14ac:dyDescent="0.25">
      <c r="A94" s="908"/>
      <c r="B94" s="908" t="str">
        <f>"Encumb. as of "&amp;TEXT(C17,"mm/dd/yyyy")</f>
        <v>Encumb. as of 04/23/2017</v>
      </c>
      <c r="C94" s="1143">
        <v>327228.25</v>
      </c>
      <c r="D94" s="1144"/>
      <c r="E94" s="1143">
        <v>0</v>
      </c>
      <c r="F94" s="1145"/>
      <c r="G94" s="1143">
        <v>35679.75</v>
      </c>
      <c r="H94" s="1145" t="s">
        <v>777</v>
      </c>
      <c r="I94" s="486">
        <v>8148.57</v>
      </c>
      <c r="J94" s="1145"/>
      <c r="K94" s="1143">
        <v>52541.599999999999</v>
      </c>
      <c r="L94" s="1145" t="s">
        <v>777</v>
      </c>
      <c r="M94" s="1143">
        <v>11354.21</v>
      </c>
      <c r="N94" s="1145"/>
      <c r="O94" s="1143">
        <v>101715.69</v>
      </c>
      <c r="P94" s="1145"/>
      <c r="Q94" s="1143">
        <f>11599.44+406.32+95.03</f>
        <v>12100.79</v>
      </c>
      <c r="R94" s="1145" t="s">
        <v>798</v>
      </c>
      <c r="S94" s="486">
        <v>25494.69</v>
      </c>
      <c r="T94" s="1145"/>
      <c r="U94" s="1143">
        <v>4221.18</v>
      </c>
      <c r="V94" s="1145"/>
      <c r="W94" s="486">
        <v>16945.87</v>
      </c>
      <c r="X94" s="1145"/>
      <c r="Y94" s="1143">
        <v>22633.94</v>
      </c>
      <c r="Z94" s="1145"/>
      <c r="AA94" s="1143">
        <v>18979.060000000001</v>
      </c>
      <c r="AB94" s="1145"/>
      <c r="AC94" s="1146"/>
      <c r="AD94" s="908"/>
      <c r="AE94" s="908" t="str">
        <f>B94</f>
        <v>Encumb. as of 04/23/2017</v>
      </c>
      <c r="AF94" s="826">
        <f>SUM(C94,E94,G94,I94,K94,M94,O94,Q94,S94,U94,W94,Y94,AA94)</f>
        <v>637043.60000000009</v>
      </c>
    </row>
    <row r="95" spans="1:33" s="826" customFormat="1" ht="15" customHeight="1" x14ac:dyDescent="0.25">
      <c r="A95" s="908"/>
      <c r="B95" s="909" t="s">
        <v>118</v>
      </c>
      <c r="C95" s="1147">
        <f>SUM(C93:C94)</f>
        <v>1257705.3500000001</v>
      </c>
      <c r="D95" s="1144"/>
      <c r="E95" s="1147">
        <f>SUM(E93:E94)</f>
        <v>35714.79</v>
      </c>
      <c r="F95" s="1145"/>
      <c r="G95" s="1147">
        <f>SUM(G93:G94)</f>
        <v>92916.209999999992</v>
      </c>
      <c r="H95" s="1145" t="s">
        <v>778</v>
      </c>
      <c r="I95" s="1203">
        <f>SUM(I93:I94)</f>
        <v>81591.76999999999</v>
      </c>
      <c r="J95" s="1145"/>
      <c r="K95" s="1147">
        <f>SUM(K93:K94)</f>
        <v>91073.22</v>
      </c>
      <c r="L95" s="1145" t="s">
        <v>778</v>
      </c>
      <c r="M95" s="1147">
        <f>SUM(M93:M94)</f>
        <v>57161.25</v>
      </c>
      <c r="N95" s="1145"/>
      <c r="O95" s="1147">
        <f>SUM(O93:O94)</f>
        <v>111089.85</v>
      </c>
      <c r="P95" s="1145"/>
      <c r="Q95" s="1147">
        <f>SUM(Q93:Q94)</f>
        <v>68955.06</v>
      </c>
      <c r="R95" s="1145"/>
      <c r="S95" s="1203">
        <f>SUM(S93:S94)</f>
        <v>61627.850000000006</v>
      </c>
      <c r="T95" s="1145"/>
      <c r="U95" s="1147">
        <f>SUM(U93:U94)</f>
        <v>50832.77</v>
      </c>
      <c r="V95" s="1145"/>
      <c r="W95" s="1203">
        <f>SUM(W93:W94)</f>
        <v>83195.179999999993</v>
      </c>
      <c r="X95" s="1145"/>
      <c r="Y95" s="1147">
        <f>SUM(Y93:Y94)</f>
        <v>51598.58</v>
      </c>
      <c r="Z95" s="1145"/>
      <c r="AA95" s="1147">
        <f>SUM(AA93:AA94)</f>
        <v>41000.93</v>
      </c>
      <c r="AB95" s="1145"/>
      <c r="AC95" s="1146"/>
      <c r="AD95" s="908"/>
      <c r="AE95" s="908" t="str">
        <f>B95</f>
        <v>TOTAL</v>
      </c>
      <c r="AF95" s="1148">
        <f>SUM(AF93:AF94)</f>
        <v>2084462.8100000003</v>
      </c>
    </row>
    <row r="96" spans="1:33" x14ac:dyDescent="0.25">
      <c r="E96" s="3"/>
      <c r="F96" s="36"/>
      <c r="G96" s="3"/>
      <c r="H96" s="36"/>
      <c r="I96" s="486"/>
      <c r="J96" s="36"/>
      <c r="K96" s="3"/>
      <c r="L96" s="36"/>
      <c r="M96" s="1157"/>
      <c r="N96" s="36"/>
      <c r="O96" s="3"/>
      <c r="P96" s="36"/>
      <c r="Q96" s="3"/>
      <c r="R96" s="36"/>
      <c r="S96" s="486"/>
      <c r="T96" s="36"/>
      <c r="U96" s="3"/>
      <c r="V96" s="36"/>
      <c r="W96" s="486"/>
      <c r="X96" s="36"/>
      <c r="Y96" s="3"/>
      <c r="Z96" s="36"/>
      <c r="AA96" s="3"/>
      <c r="AB96" s="36"/>
      <c r="AC96" s="66"/>
      <c r="AD96" s="397"/>
      <c r="AE96" s="397"/>
    </row>
    <row r="97" spans="1:33" x14ac:dyDescent="0.25">
      <c r="B97" s="908" t="s">
        <v>748</v>
      </c>
      <c r="C97" s="1154">
        <f>C85-C95</f>
        <v>389460.02</v>
      </c>
      <c r="D97" s="1155"/>
      <c r="E97" s="1154">
        <f>E85-E95</f>
        <v>5184.5999999999985</v>
      </c>
      <c r="F97" s="1156"/>
      <c r="G97" s="1154">
        <f>G85-G95</f>
        <v>-52.209999999991851</v>
      </c>
      <c r="H97" s="1156"/>
      <c r="I97" s="1204">
        <f>I85-I95</f>
        <v>67017.23000000001</v>
      </c>
      <c r="J97" s="1156"/>
      <c r="K97" s="1154">
        <f>K85-K95</f>
        <v>7977.7799999999988</v>
      </c>
      <c r="L97" s="1156"/>
      <c r="M97" s="1154">
        <f>M85-M95</f>
        <v>8411.75</v>
      </c>
      <c r="N97" s="1156"/>
      <c r="O97" s="1154">
        <f>O85-O95</f>
        <v>3868.1499999999942</v>
      </c>
      <c r="P97" s="1156"/>
      <c r="Q97" s="1154">
        <f>Q85-Q95</f>
        <v>31332.940000000002</v>
      </c>
      <c r="R97" s="1156"/>
      <c r="S97" s="1204">
        <f>S85-S95</f>
        <v>44991.149999999994</v>
      </c>
      <c r="T97" s="1156"/>
      <c r="U97" s="1154">
        <f>U85-U95</f>
        <v>16928.230000000003</v>
      </c>
      <c r="V97" s="1156"/>
      <c r="W97" s="1204">
        <f>W85-W95</f>
        <v>17764.820000000007</v>
      </c>
      <c r="X97" s="1156"/>
      <c r="Y97" s="1154">
        <f>Y85-Y95</f>
        <v>3372.4199999999983</v>
      </c>
      <c r="Z97" s="1156"/>
      <c r="AA97" s="1154">
        <f>AA85-AA95</f>
        <v>22548.07</v>
      </c>
      <c r="AB97" s="36"/>
      <c r="AC97" s="66"/>
      <c r="AE97" s="908" t="str">
        <f>B97</f>
        <v>Balance Available</v>
      </c>
      <c r="AF97" s="1154">
        <f>AF85-AF95</f>
        <v>618804.94999999949</v>
      </c>
    </row>
    <row r="98" spans="1:33" x14ac:dyDescent="0.25">
      <c r="L98" s="1221" t="s">
        <v>786</v>
      </c>
      <c r="AE98" s="37"/>
    </row>
    <row r="99" spans="1:33" x14ac:dyDescent="0.25">
      <c r="E99" s="491"/>
      <c r="F99" s="491"/>
      <c r="H99" s="1221" t="s">
        <v>786</v>
      </c>
      <c r="J99" s="1221" t="s">
        <v>786</v>
      </c>
      <c r="L99" s="1220" t="s">
        <v>785</v>
      </c>
      <c r="N99" s="1221" t="s">
        <v>786</v>
      </c>
      <c r="P99" s="1221" t="s">
        <v>786</v>
      </c>
      <c r="AE99" s="37"/>
    </row>
    <row r="100" spans="1:33" ht="15" customHeight="1" x14ac:dyDescent="0.25">
      <c r="B100" s="2152" t="s">
        <v>799</v>
      </c>
      <c r="C100" s="2">
        <v>338000</v>
      </c>
      <c r="D100" s="2" t="s">
        <v>130</v>
      </c>
      <c r="E100" s="491">
        <v>2545.7800000000002</v>
      </c>
      <c r="F100" s="491" t="s">
        <v>558</v>
      </c>
      <c r="G100" s="1210">
        <v>1160</v>
      </c>
      <c r="H100" s="1210" t="s">
        <v>805</v>
      </c>
      <c r="I100" s="1210">
        <v>14749.19</v>
      </c>
      <c r="J100" s="1210" t="s">
        <v>772</v>
      </c>
      <c r="K100" s="1210">
        <f>1029.42+401.96</f>
        <v>1431.38</v>
      </c>
      <c r="L100" s="1210" t="s">
        <v>805</v>
      </c>
      <c r="M100" s="1210">
        <v>5444.6</v>
      </c>
      <c r="N100" s="1210" t="s">
        <v>772</v>
      </c>
      <c r="O100" s="1223">
        <v>833</v>
      </c>
      <c r="P100" s="1223" t="s">
        <v>791</v>
      </c>
      <c r="Q100" s="1210">
        <v>6858.37</v>
      </c>
      <c r="R100" s="1210" t="s">
        <v>780</v>
      </c>
      <c r="S100" s="1210">
        <v>14378</v>
      </c>
      <c r="T100" s="1210" t="s">
        <v>772</v>
      </c>
      <c r="U100" s="1210">
        <v>6660</v>
      </c>
      <c r="V100" s="1210" t="s">
        <v>772</v>
      </c>
      <c r="W100" s="1210">
        <v>5603.54</v>
      </c>
      <c r="X100" s="1210" t="s">
        <v>772</v>
      </c>
      <c r="Y100" s="1210">
        <v>1032.5</v>
      </c>
      <c r="Z100" s="1210" t="s">
        <v>772</v>
      </c>
      <c r="AA100" s="1210">
        <v>13808.99</v>
      </c>
      <c r="AB100" s="1210" t="s">
        <v>772</v>
      </c>
      <c r="AE100" s="2155" t="str">
        <f>+B100</f>
        <v>2016-2017 c/o to be expensed in 2017-18 and/or trying to expese by June 30, 2017</v>
      </c>
      <c r="AF100" s="826">
        <f>SUM(C100,E100,G100,I100,K100,M100,O100,Q100,S100,U100,W100,Y100,AA100)</f>
        <v>412505.35</v>
      </c>
      <c r="AG100" s="826" t="s">
        <v>802</v>
      </c>
    </row>
    <row r="101" spans="1:33" x14ac:dyDescent="0.25">
      <c r="A101" s="1224"/>
      <c r="B101" s="2152"/>
      <c r="C101" s="2">
        <v>26000</v>
      </c>
      <c r="D101" s="2" t="s">
        <v>131</v>
      </c>
      <c r="E101" s="491">
        <v>108.42</v>
      </c>
      <c r="F101" s="491" t="s">
        <v>35</v>
      </c>
      <c r="G101" s="1210">
        <v>1627.47</v>
      </c>
      <c r="H101" s="1210" t="s">
        <v>805</v>
      </c>
      <c r="I101" s="1210">
        <v>3266.5</v>
      </c>
      <c r="J101" s="1210" t="s">
        <v>773</v>
      </c>
      <c r="K101" s="1210">
        <v>255.92</v>
      </c>
      <c r="L101" s="1210" t="s">
        <v>805</v>
      </c>
      <c r="M101" s="1210">
        <v>270.62</v>
      </c>
      <c r="N101" s="1210" t="s">
        <v>773</v>
      </c>
      <c r="O101" s="1223">
        <v>603</v>
      </c>
      <c r="P101" s="1223" t="s">
        <v>792</v>
      </c>
      <c r="Q101" s="1210">
        <f>1221-876.73</f>
        <v>344.27</v>
      </c>
      <c r="R101" s="1210" t="s">
        <v>793</v>
      </c>
      <c r="S101" s="1210">
        <v>5718.97</v>
      </c>
      <c r="T101" s="1210" t="s">
        <v>773</v>
      </c>
      <c r="U101" s="1210">
        <v>108.14</v>
      </c>
      <c r="V101" s="1210" t="s">
        <v>773</v>
      </c>
      <c r="W101" s="1210">
        <v>706.64</v>
      </c>
      <c r="X101" s="1210" t="s">
        <v>773</v>
      </c>
      <c r="Y101" s="1210">
        <v>84.63</v>
      </c>
      <c r="Z101" s="1210" t="s">
        <v>773</v>
      </c>
      <c r="AA101" s="1210">
        <v>649.42999999999995</v>
      </c>
      <c r="AB101" s="1210" t="s">
        <v>773</v>
      </c>
      <c r="AD101" s="1226"/>
      <c r="AE101" s="2155"/>
      <c r="AF101" s="826">
        <f>SUM(C101,E101,G101,I101,K101,M101,O101,Q101,S101,U101,W101,Y101,AA101)</f>
        <v>39744.009999999995</v>
      </c>
      <c r="AG101" s="826" t="s">
        <v>803</v>
      </c>
    </row>
    <row r="102" spans="1:33" x14ac:dyDescent="0.25">
      <c r="B102" s="2152"/>
      <c r="C102" s="1209">
        <f>+(SUM(C95,E95,G95,I95,K95,M95,O95,Q95,S95,U95,W95,Y95,AA95,E105,G105,I105,K105,O105,Q105,S105,U105,W105,Y105,AA105)*0.037)</f>
        <v>81635.331470000005</v>
      </c>
      <c r="D102" s="30" t="s">
        <v>769</v>
      </c>
      <c r="E102" s="491">
        <v>2530.4</v>
      </c>
      <c r="F102" s="491" t="s">
        <v>27</v>
      </c>
      <c r="G102" s="1210">
        <v>1013.24</v>
      </c>
      <c r="H102" s="1210" t="s">
        <v>805</v>
      </c>
      <c r="I102" s="1210">
        <v>1713.5</v>
      </c>
      <c r="J102" s="1210" t="s">
        <v>771</v>
      </c>
      <c r="K102" s="1210">
        <v>602.34</v>
      </c>
      <c r="L102" s="1210" t="s">
        <v>805</v>
      </c>
      <c r="M102" s="1210">
        <v>1297.4100000000001</v>
      </c>
      <c r="N102" s="1210" t="s">
        <v>771</v>
      </c>
      <c r="O102" s="1210">
        <v>2428.15</v>
      </c>
      <c r="P102" s="1228"/>
      <c r="Q102" s="1210">
        <f>1738-455.48</f>
        <v>1282.52</v>
      </c>
      <c r="R102" s="1210" t="s">
        <v>800</v>
      </c>
      <c r="S102" s="1210">
        <v>2952.69</v>
      </c>
      <c r="T102" s="1210" t="s">
        <v>771</v>
      </c>
      <c r="U102" s="1210">
        <v>3302.96</v>
      </c>
      <c r="V102" s="1210" t="s">
        <v>771</v>
      </c>
      <c r="W102" s="1210">
        <v>2961.55</v>
      </c>
      <c r="X102" s="1210" t="s">
        <v>771</v>
      </c>
      <c r="Y102" s="1210">
        <v>274.94</v>
      </c>
      <c r="Z102" s="1210" t="s">
        <v>771</v>
      </c>
      <c r="AA102" s="1210">
        <v>3035.93</v>
      </c>
      <c r="AB102" s="1210" t="s">
        <v>771</v>
      </c>
      <c r="AD102" s="908"/>
      <c r="AE102" s="2155"/>
      <c r="AF102" s="826">
        <f>SUM(C102,E102,G102,I102,K102,M102,O102,Q102,S102,U102,W102,Y102,AA102)</f>
        <v>105030.96147000001</v>
      </c>
      <c r="AG102" s="826" t="s">
        <v>804</v>
      </c>
    </row>
    <row r="103" spans="1:33" ht="15" customHeight="1" x14ac:dyDescent="0.25">
      <c r="B103" s="2152"/>
      <c r="C103" s="2">
        <v>0</v>
      </c>
      <c r="D103" s="1210" t="s">
        <v>770</v>
      </c>
      <c r="E103" s="2">
        <v>0</v>
      </c>
      <c r="G103" s="1222">
        <f>3203.15+418.11+1289.09-254.13</f>
        <v>4656.22</v>
      </c>
      <c r="H103" s="1222" t="s">
        <v>781</v>
      </c>
      <c r="I103" s="162">
        <v>0</v>
      </c>
      <c r="K103" s="1222">
        <f>5287.82+794.28-401.96</f>
        <v>5680.1399999999994</v>
      </c>
      <c r="L103" s="1222" t="s">
        <v>783</v>
      </c>
      <c r="M103" s="2">
        <v>0</v>
      </c>
      <c r="P103" s="2" t="s">
        <v>806</v>
      </c>
      <c r="Q103" s="1222">
        <f>2837.47+428.32</f>
        <v>3265.79</v>
      </c>
      <c r="R103" s="1222" t="s">
        <v>794</v>
      </c>
      <c r="S103" s="162">
        <v>0</v>
      </c>
      <c r="U103" s="2">
        <v>0</v>
      </c>
      <c r="W103" s="162">
        <v>0</v>
      </c>
      <c r="Y103" s="2">
        <v>0</v>
      </c>
      <c r="AA103" s="2">
        <v>0</v>
      </c>
      <c r="AD103" s="908"/>
      <c r="AE103" s="2155"/>
      <c r="AF103" s="826">
        <f>SUM(C103,E103,G103,I103,K103,M103,O103,Q103,S103,U103,W103,Y103,AA103)</f>
        <v>13602.150000000001</v>
      </c>
      <c r="AG103" s="826" t="s">
        <v>134</v>
      </c>
    </row>
    <row r="104" spans="1:33" x14ac:dyDescent="0.25">
      <c r="B104" s="2152"/>
      <c r="C104" s="2">
        <v>0</v>
      </c>
      <c r="D104" s="2"/>
      <c r="E104" s="2">
        <v>0</v>
      </c>
      <c r="G104" s="2">
        <v>0</v>
      </c>
      <c r="I104" s="162">
        <v>0</v>
      </c>
      <c r="K104" s="1222">
        <v>0</v>
      </c>
      <c r="L104" s="1222" t="s">
        <v>784</v>
      </c>
      <c r="M104" s="2">
        <v>0</v>
      </c>
      <c r="O104" s="2">
        <v>0</v>
      </c>
      <c r="Q104" s="1222">
        <f>3162.99+500</f>
        <v>3662.99</v>
      </c>
      <c r="R104" s="1222" t="s">
        <v>795</v>
      </c>
      <c r="S104" s="162">
        <v>0</v>
      </c>
      <c r="U104" s="2">
        <v>0</v>
      </c>
      <c r="W104" s="162">
        <v>0</v>
      </c>
      <c r="Y104" s="2">
        <v>0</v>
      </c>
      <c r="AA104" s="2">
        <v>0</v>
      </c>
      <c r="AD104" s="908"/>
      <c r="AE104" s="2155"/>
      <c r="AF104" s="826">
        <f>SUM(C104,E104,G104,I104,K104,M104,O104,Q104,S104,U104,W104,Y104,AA104)</f>
        <v>3662.99</v>
      </c>
      <c r="AG104" s="826" t="s">
        <v>134</v>
      </c>
    </row>
    <row r="105" spans="1:33" x14ac:dyDescent="0.25">
      <c r="B105" s="2152"/>
      <c r="C105" s="161">
        <f>SUM(C100:C104)</f>
        <v>445635.33146999998</v>
      </c>
      <c r="D105" s="2" t="s">
        <v>57</v>
      </c>
      <c r="E105" s="161">
        <f>SUM(E100:E104)</f>
        <v>5184.6000000000004</v>
      </c>
      <c r="G105" s="161">
        <f>SUM(G100:G104)</f>
        <v>8456.93</v>
      </c>
      <c r="I105" s="1205">
        <f>SUM(I100:I104)</f>
        <v>19729.190000000002</v>
      </c>
      <c r="K105" s="161">
        <f>SUM(K100:K104)</f>
        <v>7969.78</v>
      </c>
      <c r="M105" s="161">
        <f>SUM(M100:M104)</f>
        <v>7012.63</v>
      </c>
      <c r="O105" s="161">
        <f>SUM(O100:O104)</f>
        <v>3864.15</v>
      </c>
      <c r="Q105" s="161">
        <f>SUM(Q100:Q104)</f>
        <v>15413.94</v>
      </c>
      <c r="S105" s="1205">
        <f>SUM(S100:S104)</f>
        <v>23049.66</v>
      </c>
      <c r="U105" s="161">
        <f>SUM(U100:U104)</f>
        <v>10071.1</v>
      </c>
      <c r="W105" s="1205">
        <f>SUM(W100:W104)</f>
        <v>9271.73</v>
      </c>
      <c r="Y105" s="161">
        <f>SUM(Y100:Y104)</f>
        <v>1392.0700000000002</v>
      </c>
      <c r="AA105" s="161">
        <f>SUM(AA100:AA104)</f>
        <v>17494.349999999999</v>
      </c>
      <c r="AD105" s="908"/>
      <c r="AE105" s="908" t="s">
        <v>732</v>
      </c>
      <c r="AF105" s="910">
        <f>SUM(AF100:AF104)</f>
        <v>574545.46146999998</v>
      </c>
      <c r="AG105" s="826"/>
    </row>
    <row r="106" spans="1:33" x14ac:dyDescent="0.25">
      <c r="C106" s="2"/>
      <c r="D106" s="2"/>
    </row>
    <row r="107" spans="1:33" x14ac:dyDescent="0.25">
      <c r="C107" s="2"/>
      <c r="D107" s="2"/>
    </row>
    <row r="108" spans="1:33" ht="28.5" customHeight="1" x14ac:dyDescent="0.25">
      <c r="A108" s="2152" t="s">
        <v>135</v>
      </c>
      <c r="B108" s="2152"/>
      <c r="C108" s="3">
        <f>C97-C105</f>
        <v>-56175.311469999957</v>
      </c>
      <c r="D108" s="2"/>
      <c r="E108" s="1218">
        <f>E97-E105</f>
        <v>0</v>
      </c>
      <c r="F108" s="1217"/>
      <c r="G108" s="398">
        <f>G97-G105</f>
        <v>-8509.1399999999921</v>
      </c>
      <c r="H108" s="1217" t="s">
        <v>774</v>
      </c>
      <c r="I108" s="1206">
        <f>I97-I105</f>
        <v>47288.040000000008</v>
      </c>
      <c r="J108" s="1217" t="s">
        <v>774</v>
      </c>
      <c r="K108" s="3">
        <f>K97-K105</f>
        <v>7.9999999999990905</v>
      </c>
      <c r="L108" s="1217"/>
      <c r="M108" s="3">
        <f>M97-M105</f>
        <v>1399.12</v>
      </c>
      <c r="N108" s="1217" t="s">
        <v>774</v>
      </c>
      <c r="O108" s="3">
        <f>O97-O105</f>
        <v>3.9999999999940883</v>
      </c>
      <c r="P108" s="1217"/>
      <c r="Q108" s="3">
        <f>Q97-Q105</f>
        <v>15919.000000000002</v>
      </c>
      <c r="R108" s="1217" t="s">
        <v>774</v>
      </c>
      <c r="S108" s="486">
        <f>S97-S105</f>
        <v>21941.489999999994</v>
      </c>
      <c r="T108" s="1217" t="s">
        <v>774</v>
      </c>
      <c r="U108" s="3">
        <f>U97-U105</f>
        <v>6857.1300000000028</v>
      </c>
      <c r="V108" s="1217" t="s">
        <v>774</v>
      </c>
      <c r="W108" s="486">
        <f>W97-W105</f>
        <v>8493.0900000000074</v>
      </c>
      <c r="X108" s="1217" t="s">
        <v>774</v>
      </c>
      <c r="Y108" s="3">
        <f>Y97-Y105</f>
        <v>1980.3499999999981</v>
      </c>
      <c r="Z108" s="1217" t="s">
        <v>774</v>
      </c>
      <c r="AA108" s="3">
        <f>AA97-AA105</f>
        <v>5053.7200000000012</v>
      </c>
      <c r="AB108" s="1217" t="s">
        <v>774</v>
      </c>
      <c r="AD108" s="2153" t="s">
        <v>135</v>
      </c>
      <c r="AE108" s="2153"/>
      <c r="AF108" s="911">
        <f>AF97-AF105</f>
        <v>44259.488529999508</v>
      </c>
      <c r="AG108" s="1149">
        <f>SUM(C108,E108,G108,I108,K108,M108,O108,Q108,S108,U108,W108,Y108,AA108)</f>
        <v>44259.488530000053</v>
      </c>
    </row>
    <row r="109" spans="1:33" ht="10.5" customHeight="1" x14ac:dyDescent="0.25">
      <c r="A109" s="1140"/>
      <c r="B109" s="1140"/>
      <c r="D109" s="2"/>
      <c r="E109" s="398"/>
      <c r="F109" s="108"/>
      <c r="G109" s="398"/>
      <c r="H109" s="108"/>
      <c r="I109" s="1206"/>
      <c r="J109" s="108"/>
      <c r="K109" s="3"/>
      <c r="M109" s="3"/>
      <c r="O109" s="3"/>
      <c r="Q109" s="3"/>
      <c r="S109" s="486"/>
      <c r="U109" s="3"/>
      <c r="W109" s="486"/>
      <c r="Y109" s="3"/>
      <c r="AA109" s="3"/>
      <c r="AD109" s="1141"/>
      <c r="AE109" s="1141"/>
      <c r="AF109" s="911"/>
      <c r="AG109" s="1149">
        <f>AF108-AG108</f>
        <v>-5.4569682106375694E-10</v>
      </c>
    </row>
    <row r="110" spans="1:33" s="108" customFormat="1" x14ac:dyDescent="0.25">
      <c r="A110" s="399"/>
      <c r="B110" s="399"/>
      <c r="C110" s="398"/>
      <c r="D110" s="400"/>
      <c r="E110" s="398">
        <v>0</v>
      </c>
      <c r="G110" s="398">
        <v>1490.86</v>
      </c>
      <c r="H110" s="108" t="s">
        <v>25</v>
      </c>
      <c r="I110" s="492">
        <v>25241</v>
      </c>
      <c r="J110" s="108" t="s">
        <v>25</v>
      </c>
      <c r="K110" s="398"/>
      <c r="M110" s="492">
        <v>584.55999999999995</v>
      </c>
      <c r="N110" s="108" t="s">
        <v>25</v>
      </c>
      <c r="O110" s="492">
        <v>0</v>
      </c>
      <c r="P110" s="108" t="s">
        <v>25</v>
      </c>
      <c r="Q110" s="398">
        <v>7721.11</v>
      </c>
      <c r="R110" s="108" t="s">
        <v>775</v>
      </c>
      <c r="S110" s="1225">
        <v>12502.24</v>
      </c>
      <c r="T110" s="108" t="s">
        <v>25</v>
      </c>
      <c r="U110" s="1225">
        <v>2915.06</v>
      </c>
      <c r="V110" s="108" t="s">
        <v>25</v>
      </c>
      <c r="W110" s="1225">
        <v>5105.3100000000004</v>
      </c>
      <c r="X110" s="108" t="s">
        <v>25</v>
      </c>
      <c r="Y110" s="1225">
        <v>128.09</v>
      </c>
      <c r="Z110" s="108" t="s">
        <v>25</v>
      </c>
      <c r="AA110" s="1225">
        <v>1760.35</v>
      </c>
      <c r="AB110" s="108" t="s">
        <v>25</v>
      </c>
      <c r="AD110" s="912"/>
      <c r="AE110" s="1150" t="s">
        <v>746</v>
      </c>
      <c r="AF110" s="1151">
        <f>SUM(E108:AA108)</f>
        <v>100434.80000000002</v>
      </c>
    </row>
    <row r="111" spans="1:33" x14ac:dyDescent="0.25">
      <c r="A111" s="397"/>
      <c r="B111" s="397"/>
      <c r="C111" s="2"/>
      <c r="D111" s="2"/>
      <c r="E111" s="2">
        <v>0</v>
      </c>
      <c r="G111" s="2">
        <v>0</v>
      </c>
      <c r="I111" s="492">
        <v>22047.040000000001</v>
      </c>
      <c r="J111" s="2" t="s">
        <v>782</v>
      </c>
      <c r="M111" s="492">
        <v>814.56</v>
      </c>
      <c r="N111" s="2" t="s">
        <v>782</v>
      </c>
      <c r="O111" s="492">
        <v>0</v>
      </c>
      <c r="P111" s="2" t="s">
        <v>782</v>
      </c>
      <c r="Q111" s="2">
        <v>8197.89</v>
      </c>
      <c r="R111" s="2" t="s">
        <v>796</v>
      </c>
      <c r="S111" s="492">
        <v>9439.25</v>
      </c>
      <c r="T111" s="2" t="s">
        <v>801</v>
      </c>
      <c r="U111" s="492">
        <v>3942.07</v>
      </c>
      <c r="V111" s="2" t="s">
        <v>801</v>
      </c>
      <c r="W111" s="492">
        <v>3387.78</v>
      </c>
      <c r="X111" s="2" t="s">
        <v>801</v>
      </c>
      <c r="Y111" s="492">
        <v>1852.26</v>
      </c>
      <c r="Z111" s="2" t="s">
        <v>801</v>
      </c>
      <c r="AA111" s="492">
        <v>3293.37</v>
      </c>
      <c r="AB111" s="2" t="s">
        <v>801</v>
      </c>
      <c r="AD111" s="913"/>
      <c r="AE111" s="1152" t="s">
        <v>57</v>
      </c>
      <c r="AF111" s="1153">
        <f>+C108</f>
        <v>-56175.311469999957</v>
      </c>
      <c r="AG111" s="2">
        <f>+AF110+AF111</f>
        <v>44259.488530000061</v>
      </c>
    </row>
    <row r="112" spans="1:33" x14ac:dyDescent="0.25">
      <c r="A112" s="1207"/>
      <c r="B112" s="1207"/>
      <c r="C112" s="2"/>
      <c r="D112" s="2"/>
      <c r="E112" s="112">
        <f>+E110+E111</f>
        <v>0</v>
      </c>
      <c r="G112" s="112">
        <f>+G110+G111</f>
        <v>1490.86</v>
      </c>
      <c r="I112" s="1219">
        <f>+I110+I111</f>
        <v>47288.04</v>
      </c>
      <c r="M112" s="1219">
        <f>+M110+M111</f>
        <v>1399.12</v>
      </c>
      <c r="O112" s="1219">
        <f>+O110+O111</f>
        <v>0</v>
      </c>
      <c r="Q112" s="112">
        <f>+Q110+Q111</f>
        <v>15919</v>
      </c>
      <c r="S112" s="112">
        <f>+S110+S111</f>
        <v>21941.489999999998</v>
      </c>
      <c r="U112" s="112">
        <f>+U110+U111</f>
        <v>6857.13</v>
      </c>
      <c r="W112" s="112">
        <f>+W110+W111</f>
        <v>8493.09</v>
      </c>
      <c r="Y112" s="112">
        <f>+Y110+Y111</f>
        <v>1980.35</v>
      </c>
      <c r="AA112" s="112">
        <f>+AA110+AA111</f>
        <v>5053.7199999999993</v>
      </c>
      <c r="AD112" s="1208"/>
      <c r="AE112" s="1211"/>
      <c r="AF112" s="1212"/>
    </row>
    <row r="113" spans="1:32" x14ac:dyDescent="0.25">
      <c r="A113" s="1207"/>
      <c r="B113" s="1207"/>
      <c r="C113" s="2"/>
      <c r="D113" s="2"/>
      <c r="Q113" s="2">
        <f>+Q108-Q112</f>
        <v>0</v>
      </c>
      <c r="S113" s="2">
        <f>+S108-S112</f>
        <v>0</v>
      </c>
      <c r="U113" s="2">
        <f>+U108-U112</f>
        <v>0</v>
      </c>
      <c r="W113" s="2">
        <f>+W108-W112</f>
        <v>0</v>
      </c>
      <c r="Y113" s="2">
        <f>+Y108-Y112</f>
        <v>-1.8189894035458565E-12</v>
      </c>
      <c r="AA113" s="2">
        <f>+AA108-AA112</f>
        <v>0</v>
      </c>
      <c r="AD113" s="1208"/>
      <c r="AE113" s="1211"/>
      <c r="AF113" s="145">
        <f>+AF110+AF111</f>
        <v>44259.488530000061</v>
      </c>
    </row>
    <row r="114" spans="1:32" s="107" customFormat="1" x14ac:dyDescent="0.25">
      <c r="A114" s="1213"/>
      <c r="B114" s="1213"/>
      <c r="I114" s="1202"/>
      <c r="S114" s="1202"/>
      <c r="W114" s="1202"/>
      <c r="AC114" s="395"/>
      <c r="AD114" s="1214"/>
      <c r="AE114" s="1214"/>
      <c r="AF114" s="1215"/>
    </row>
    <row r="115" spans="1:32" x14ac:dyDescent="0.25">
      <c r="A115" s="1207"/>
      <c r="B115" s="1207"/>
      <c r="C115" s="2"/>
      <c r="D115" s="2"/>
      <c r="AD115" s="1208"/>
      <c r="AE115" s="1211"/>
      <c r="AF115" s="1212"/>
    </row>
    <row r="116" spans="1:32" x14ac:dyDescent="0.25">
      <c r="A116" s="1207"/>
      <c r="B116" s="1207"/>
      <c r="C116" s="2"/>
      <c r="D116" s="2"/>
      <c r="G116" s="1216" t="s">
        <v>191</v>
      </c>
      <c r="K116" s="1216" t="s">
        <v>191</v>
      </c>
      <c r="O116" s="1216" t="s">
        <v>191</v>
      </c>
      <c r="Q116" s="1216" t="s">
        <v>191</v>
      </c>
      <c r="AD116" s="1208"/>
      <c r="AE116" s="1211"/>
      <c r="AF116" s="1212"/>
    </row>
    <row r="117" spans="1:32" x14ac:dyDescent="0.25">
      <c r="A117" s="1207"/>
      <c r="B117" s="1207"/>
      <c r="C117" s="2"/>
      <c r="D117" s="2"/>
      <c r="G117" s="2">
        <v>39000</v>
      </c>
      <c r="H117" s="2" t="s">
        <v>183</v>
      </c>
      <c r="K117" s="2">
        <v>39000</v>
      </c>
      <c r="L117" s="2" t="s">
        <v>183</v>
      </c>
      <c r="O117" s="2">
        <v>39000</v>
      </c>
      <c r="P117" s="2" t="s">
        <v>183</v>
      </c>
      <c r="Q117" s="2">
        <v>39000</v>
      </c>
      <c r="R117" s="2" t="s">
        <v>183</v>
      </c>
      <c r="AD117" s="1208"/>
      <c r="AE117" s="1211"/>
      <c r="AF117" s="1212"/>
    </row>
    <row r="118" spans="1:32" x14ac:dyDescent="0.25">
      <c r="A118" s="1207"/>
      <c r="B118" s="1207"/>
      <c r="C118" s="2"/>
      <c r="D118" s="2"/>
      <c r="AD118" s="1208"/>
      <c r="AE118" s="1211"/>
      <c r="AF118" s="1212"/>
    </row>
    <row r="119" spans="1:32" x14ac:dyDescent="0.25">
      <c r="A119" s="1207"/>
      <c r="B119" s="1207"/>
      <c r="C119" s="2"/>
      <c r="D119" s="2"/>
      <c r="G119" s="10" t="str">
        <f>"Actuals/Encumb. as of "&amp;TEXT($C$17,"mm/dd/yyyy")</f>
        <v>Actuals/Encumb. as of 04/23/2017</v>
      </c>
      <c r="K119" s="10" t="str">
        <f>"Actuals/Encumb. as of "&amp;TEXT($C$17,"mm/dd/yyyy")</f>
        <v>Actuals/Encumb. as of 04/23/2017</v>
      </c>
      <c r="O119" s="10" t="str">
        <f>"Actuals/Encumb. as of "&amp;TEXT($C$17,"mm/dd/yyyy")</f>
        <v>Actuals/Encumb. as of 04/23/2017</v>
      </c>
      <c r="Q119" s="10" t="str">
        <f>"Actuals/Encumb. as of "&amp;TEXT($C$17,"mm/dd/yyyy")</f>
        <v>Actuals/Encumb. as of 04/23/2017</v>
      </c>
      <c r="AD119" s="1208"/>
      <c r="AE119" s="1211"/>
      <c r="AF119" s="1212"/>
    </row>
    <row r="120" spans="1:32" x14ac:dyDescent="0.25">
      <c r="A120" s="1207"/>
      <c r="B120" s="1207"/>
      <c r="C120" s="2"/>
      <c r="D120" s="2"/>
      <c r="G120" s="2">
        <v>4296.8500000000004</v>
      </c>
      <c r="H120" s="2" t="s">
        <v>558</v>
      </c>
      <c r="K120" s="2">
        <v>2712.18</v>
      </c>
      <c r="L120" s="2" t="s">
        <v>558</v>
      </c>
      <c r="O120" s="2">
        <v>0</v>
      </c>
      <c r="P120" s="2" t="s">
        <v>558</v>
      </c>
      <c r="Q120" s="2">
        <v>162.53</v>
      </c>
      <c r="R120" s="2" t="s">
        <v>558</v>
      </c>
      <c r="AD120" s="1208"/>
      <c r="AE120" s="1211"/>
      <c r="AF120" s="1212"/>
    </row>
    <row r="121" spans="1:32" x14ac:dyDescent="0.25">
      <c r="A121" s="1207"/>
      <c r="B121" s="1207"/>
      <c r="C121" s="2"/>
      <c r="D121" s="2"/>
      <c r="G121" s="2">
        <v>81.89</v>
      </c>
      <c r="H121" s="2" t="s">
        <v>35</v>
      </c>
      <c r="K121" s="2">
        <v>0</v>
      </c>
      <c r="L121" s="2" t="s">
        <v>35</v>
      </c>
      <c r="O121" s="2">
        <v>0</v>
      </c>
      <c r="P121" s="2" t="s">
        <v>35</v>
      </c>
      <c r="Q121" s="2">
        <v>0</v>
      </c>
      <c r="R121" s="2" t="s">
        <v>35</v>
      </c>
      <c r="AD121" s="1208"/>
      <c r="AE121" s="1211"/>
      <c r="AF121" s="1212"/>
    </row>
    <row r="122" spans="1:32" x14ac:dyDescent="0.25">
      <c r="A122" s="1207"/>
      <c r="B122" s="1207"/>
      <c r="C122" s="2"/>
      <c r="D122" s="2"/>
      <c r="G122" s="2">
        <v>670.91</v>
      </c>
      <c r="H122" s="2" t="s">
        <v>27</v>
      </c>
      <c r="K122" s="2">
        <v>411.72</v>
      </c>
      <c r="L122" s="2" t="s">
        <v>27</v>
      </c>
      <c r="O122" s="2">
        <v>36973.58</v>
      </c>
      <c r="P122" s="2" t="s">
        <v>779</v>
      </c>
      <c r="Q122" s="2">
        <v>24.68</v>
      </c>
      <c r="R122" s="2" t="s">
        <v>27</v>
      </c>
      <c r="AD122" s="1208"/>
      <c r="AE122" s="1211"/>
      <c r="AF122" s="1212"/>
    </row>
    <row r="123" spans="1:32" x14ac:dyDescent="0.25">
      <c r="A123" s="1207"/>
      <c r="B123" s="1207"/>
      <c r="C123" s="2"/>
      <c r="D123" s="2"/>
      <c r="G123" s="2">
        <v>29294.13</v>
      </c>
      <c r="H123" s="2" t="s">
        <v>779</v>
      </c>
      <c r="K123" s="2">
        <v>30195.96</v>
      </c>
      <c r="L123" s="2" t="s">
        <v>779</v>
      </c>
      <c r="O123" s="2">
        <v>483.19</v>
      </c>
      <c r="P123" s="2" t="s">
        <v>4</v>
      </c>
      <c r="Q123" s="2">
        <f>22845.31+9038.7</f>
        <v>31884.010000000002</v>
      </c>
      <c r="R123" s="2" t="s">
        <v>779</v>
      </c>
      <c r="AD123" s="1208"/>
      <c r="AE123" s="1211"/>
      <c r="AF123" s="1212"/>
    </row>
    <row r="124" spans="1:32" x14ac:dyDescent="0.25">
      <c r="A124" s="1207"/>
      <c r="B124" s="1207"/>
      <c r="C124" s="2"/>
      <c r="D124" s="2"/>
      <c r="G124" s="112">
        <f>SUM(G120:G123)</f>
        <v>34343.78</v>
      </c>
      <c r="K124" s="112">
        <f>SUM(K120:K123)</f>
        <v>33319.86</v>
      </c>
      <c r="O124" s="112">
        <f>SUM(O120:O123)</f>
        <v>37456.770000000004</v>
      </c>
      <c r="Q124" s="112">
        <f>SUM(Q120:Q123)</f>
        <v>32071.22</v>
      </c>
      <c r="AD124" s="1208"/>
      <c r="AE124" s="1211"/>
      <c r="AF124" s="1212"/>
    </row>
    <row r="125" spans="1:32" x14ac:dyDescent="0.25">
      <c r="A125" s="1207"/>
      <c r="B125" s="1207"/>
      <c r="C125" s="2"/>
      <c r="D125" s="2"/>
      <c r="AD125" s="1208"/>
      <c r="AE125" s="1211"/>
      <c r="AF125" s="1212"/>
    </row>
    <row r="126" spans="1:32" x14ac:dyDescent="0.25">
      <c r="A126" s="1207"/>
      <c r="B126" s="1207"/>
      <c r="C126" s="2"/>
      <c r="D126" s="2"/>
      <c r="G126" s="1222">
        <f>+G117-G124</f>
        <v>4656.2200000000012</v>
      </c>
      <c r="H126" s="1222" t="s">
        <v>790</v>
      </c>
      <c r="K126" s="1222">
        <f>+K117-K124</f>
        <v>5680.1399999999994</v>
      </c>
      <c r="L126" s="1222" t="s">
        <v>790</v>
      </c>
      <c r="O126" s="1222">
        <f>+O117-O124</f>
        <v>1543.2299999999959</v>
      </c>
      <c r="P126" s="1222" t="s">
        <v>790</v>
      </c>
      <c r="Q126" s="1222">
        <f>+Q117-Q124</f>
        <v>6928.7799999999988</v>
      </c>
      <c r="R126" s="1222" t="s">
        <v>797</v>
      </c>
      <c r="AD126" s="1208"/>
      <c r="AE126" s="1211"/>
      <c r="AF126" s="1212"/>
    </row>
    <row r="127" spans="1:32" x14ac:dyDescent="0.25">
      <c r="A127" s="1207"/>
      <c r="B127" s="1207"/>
      <c r="C127" s="2"/>
      <c r="D127" s="2"/>
      <c r="G127" s="2">
        <f>+G126-G103-G104</f>
        <v>9.0949470177292824E-13</v>
      </c>
      <c r="K127" s="2">
        <f>+K126-K103-K104</f>
        <v>0</v>
      </c>
      <c r="O127" s="2">
        <f>+O126-O100-O101</f>
        <v>107.22999999999593</v>
      </c>
      <c r="P127" s="1220" t="s">
        <v>785</v>
      </c>
      <c r="Q127" s="2">
        <f>+Q126-Q103-Q104</f>
        <v>0</v>
      </c>
      <c r="AD127" s="1208"/>
      <c r="AE127" s="1211"/>
      <c r="AF127" s="1212"/>
    </row>
    <row r="128" spans="1:32" x14ac:dyDescent="0.25">
      <c r="A128" s="1207"/>
      <c r="B128" s="1207"/>
      <c r="C128" s="2"/>
      <c r="D128" s="2"/>
      <c r="AD128" s="1208"/>
      <c r="AE128" s="1211"/>
      <c r="AF128" s="1212"/>
    </row>
    <row r="129" spans="1:32" s="107" customFormat="1" x14ac:dyDescent="0.25">
      <c r="A129" s="1213"/>
      <c r="B129" s="1213"/>
      <c r="I129" s="1202"/>
      <c r="S129" s="1202"/>
      <c r="W129" s="1202"/>
      <c r="AC129" s="395"/>
      <c r="AD129" s="1214"/>
      <c r="AE129" s="1214"/>
      <c r="AF129" s="1215"/>
    </row>
    <row r="130" spans="1:32" x14ac:dyDescent="0.25">
      <c r="A130" s="1207"/>
      <c r="B130" s="1207"/>
      <c r="C130" s="2"/>
      <c r="D130" s="2"/>
      <c r="AD130" s="1208"/>
      <c r="AE130" s="1211"/>
      <c r="AF130" s="1212"/>
    </row>
    <row r="131" spans="1:32" ht="17.25" x14ac:dyDescent="0.4">
      <c r="C131" s="401" t="str">
        <f>+C19</f>
        <v>200 - DO</v>
      </c>
      <c r="D131" s="2"/>
      <c r="G131" s="401" t="str">
        <f>+G19</f>
        <v>020 - SH</v>
      </c>
      <c r="H131" s="2" t="s">
        <v>197</v>
      </c>
      <c r="K131" s="401" t="str">
        <f>+K19</f>
        <v>040 - ST</v>
      </c>
      <c r="L131" s="2" t="s">
        <v>194</v>
      </c>
      <c r="M131" s="402"/>
      <c r="N131" s="36"/>
      <c r="O131" s="401" t="str">
        <f>+O19</f>
        <v>060 - SY</v>
      </c>
      <c r="P131" s="2" t="s">
        <v>195</v>
      </c>
      <c r="Q131" s="401" t="str">
        <f>+Q19</f>
        <v>070 - WO</v>
      </c>
      <c r="R131" s="2" t="s">
        <v>196</v>
      </c>
      <c r="AD131" s="906"/>
      <c r="AE131" s="907"/>
    </row>
    <row r="132" spans="1:32" x14ac:dyDescent="0.25">
      <c r="C132" s="2">
        <v>10000</v>
      </c>
      <c r="D132" s="30" t="s">
        <v>203</v>
      </c>
      <c r="G132" s="10" t="s">
        <v>191</v>
      </c>
      <c r="K132" s="10" t="s">
        <v>191</v>
      </c>
      <c r="M132" s="6"/>
      <c r="N132" s="36"/>
      <c r="O132" s="10" t="s">
        <v>191</v>
      </c>
      <c r="Q132" s="10" t="s">
        <v>191</v>
      </c>
      <c r="AE132" s="10"/>
    </row>
    <row r="133" spans="1:32" x14ac:dyDescent="0.25">
      <c r="C133" s="108">
        <f>ROUND(+C132*(LEFT('MYP Assumptions'!$D$52,6)),0)</f>
        <v>1258</v>
      </c>
      <c r="D133" s="108" t="s">
        <v>76</v>
      </c>
      <c r="G133" s="2">
        <v>39000</v>
      </c>
      <c r="H133" s="2" t="s">
        <v>183</v>
      </c>
      <c r="K133" s="2">
        <v>39000</v>
      </c>
      <c r="L133" s="2" t="s">
        <v>183</v>
      </c>
      <c r="M133" s="36"/>
      <c r="N133" s="36"/>
      <c r="O133" s="2">
        <v>39000</v>
      </c>
      <c r="P133" s="2" t="s">
        <v>183</v>
      </c>
      <c r="Q133" s="2">
        <v>39000</v>
      </c>
      <c r="R133" s="2" t="s">
        <v>183</v>
      </c>
      <c r="AE133" s="10"/>
    </row>
    <row r="134" spans="1:32" x14ac:dyDescent="0.25">
      <c r="C134" s="108">
        <f>ROUND(+C132*(LEFT('MYP Assumptions'!$D$55,6)),0)</f>
        <v>145</v>
      </c>
      <c r="D134" s="108" t="s">
        <v>79</v>
      </c>
      <c r="M134" s="36"/>
      <c r="N134" s="36"/>
      <c r="AE134" s="10"/>
    </row>
    <row r="135" spans="1:32" x14ac:dyDescent="0.25">
      <c r="C135" s="108">
        <f>ROUND(+C132*(LEFT('MYP Assumptions'!$D$56,6)),0)</f>
        <v>5</v>
      </c>
      <c r="D135" s="108" t="s">
        <v>81</v>
      </c>
      <c r="G135" s="2">
        <v>20000</v>
      </c>
      <c r="H135" s="2" t="s">
        <v>184</v>
      </c>
      <c r="K135" s="2">
        <v>25000</v>
      </c>
      <c r="L135" s="2" t="s">
        <v>184</v>
      </c>
      <c r="M135" s="36"/>
      <c r="N135" s="36"/>
      <c r="O135" s="2">
        <v>30000</v>
      </c>
      <c r="P135" s="2" t="s">
        <v>184</v>
      </c>
      <c r="Q135" s="2">
        <v>19272</v>
      </c>
      <c r="R135" s="2" t="s">
        <v>184</v>
      </c>
      <c r="AE135" s="10"/>
    </row>
    <row r="136" spans="1:32" x14ac:dyDescent="0.25">
      <c r="C136" s="108">
        <f>+C132*(LEFT('MYP Assumptions'!$D$57,5))</f>
        <v>110</v>
      </c>
      <c r="D136" s="108" t="s">
        <v>82</v>
      </c>
      <c r="G136" s="2">
        <v>3500</v>
      </c>
      <c r="H136" s="2" t="s">
        <v>185</v>
      </c>
      <c r="K136" s="2">
        <v>4794</v>
      </c>
      <c r="L136" s="2" t="s">
        <v>185</v>
      </c>
      <c r="M136" s="36"/>
      <c r="N136" s="36"/>
      <c r="O136" s="2">
        <v>4397</v>
      </c>
      <c r="P136" s="2" t="s">
        <v>185</v>
      </c>
      <c r="Q136" s="2">
        <v>3147</v>
      </c>
      <c r="R136" s="2" t="s">
        <v>185</v>
      </c>
      <c r="AE136" s="10"/>
    </row>
    <row r="137" spans="1:32" x14ac:dyDescent="0.25">
      <c r="C137" s="112">
        <f>SUM(C132:C136)</f>
        <v>11518</v>
      </c>
      <c r="D137" s="2"/>
      <c r="M137" s="36"/>
      <c r="N137" s="36"/>
      <c r="AE137" s="10"/>
    </row>
    <row r="138" spans="1:32" x14ac:dyDescent="0.25">
      <c r="C138" s="2"/>
      <c r="D138" s="2"/>
      <c r="G138" s="2">
        <v>10000</v>
      </c>
      <c r="H138" s="2" t="s">
        <v>192</v>
      </c>
      <c r="K138" s="2">
        <v>8000</v>
      </c>
      <c r="L138" s="2" t="s">
        <v>193</v>
      </c>
      <c r="M138" s="36"/>
      <c r="N138" s="36"/>
      <c r="O138" s="2">
        <v>4000</v>
      </c>
      <c r="P138" s="2" t="s">
        <v>193</v>
      </c>
      <c r="Q138" s="2">
        <v>3000</v>
      </c>
      <c r="R138" s="2" t="s">
        <v>198</v>
      </c>
      <c r="AE138" s="10"/>
    </row>
    <row r="139" spans="1:32" x14ac:dyDescent="0.25">
      <c r="C139" s="2"/>
      <c r="D139" s="2"/>
      <c r="G139" s="108">
        <f>ROUND(+G138*(LEFT('MYP Assumptions'!$D$52,6)),0)</f>
        <v>1258</v>
      </c>
      <c r="H139" s="108" t="s">
        <v>76</v>
      </c>
      <c r="K139" s="108">
        <f>ROUND(+K138*(LEFT('MYP Assumptions'!$D$52,6)),0)</f>
        <v>1006</v>
      </c>
      <c r="L139" s="2" t="s">
        <v>76</v>
      </c>
      <c r="M139" s="36"/>
      <c r="N139" s="36"/>
      <c r="O139" s="108">
        <f>ROUND(+O138*(LEFT('MYP Assumptions'!$D$52,6)),0)</f>
        <v>503</v>
      </c>
      <c r="P139" s="2" t="s">
        <v>76</v>
      </c>
      <c r="Q139" s="108">
        <f>ROUND(+Q138*(LEFT('MYP Assumptions'!$D$52,6)),0)</f>
        <v>377</v>
      </c>
      <c r="R139" s="2" t="s">
        <v>76</v>
      </c>
    </row>
    <row r="140" spans="1:32" x14ac:dyDescent="0.25">
      <c r="C140" s="2"/>
      <c r="D140" s="2"/>
      <c r="G140" s="108">
        <f>ROUND(+G138*(LEFT('MYP Assumptions'!$D$55,6)),0)</f>
        <v>145</v>
      </c>
      <c r="H140" s="108" t="s">
        <v>79</v>
      </c>
      <c r="K140" s="108">
        <f>ROUND(+K138*(LEFT('MYP Assumptions'!$D$55,6)),0)</f>
        <v>116</v>
      </c>
      <c r="L140" s="2" t="s">
        <v>79</v>
      </c>
      <c r="M140" s="36"/>
      <c r="N140" s="36"/>
      <c r="O140" s="108">
        <f>ROUND(+O138*(LEFT('MYP Assumptions'!$D$55,6)),0)</f>
        <v>58</v>
      </c>
      <c r="P140" s="2" t="s">
        <v>79</v>
      </c>
      <c r="Q140" s="108">
        <f>ROUND(+Q138*(LEFT('MYP Assumptions'!$D$55,6)),0)</f>
        <v>44</v>
      </c>
      <c r="R140" s="2" t="s">
        <v>79</v>
      </c>
    </row>
    <row r="141" spans="1:32" x14ac:dyDescent="0.25">
      <c r="C141" s="2"/>
      <c r="D141" s="2"/>
      <c r="G141" s="108">
        <f>ROUND(+G138*(LEFT('MYP Assumptions'!$D$56,6)),0)</f>
        <v>5</v>
      </c>
      <c r="H141" s="108" t="s">
        <v>81</v>
      </c>
      <c r="K141" s="108">
        <f>ROUND(+K138*(LEFT('MYP Assumptions'!$D$56,6)),0)</f>
        <v>4</v>
      </c>
      <c r="L141" s="2" t="s">
        <v>81</v>
      </c>
      <c r="M141" s="36"/>
      <c r="N141" s="36"/>
      <c r="O141" s="108">
        <f>ROUND(+O138*(LEFT('MYP Assumptions'!$D$56,6)),0)</f>
        <v>2</v>
      </c>
      <c r="P141" s="2" t="s">
        <v>81</v>
      </c>
      <c r="Q141" s="108">
        <f>ROUND(+Q138*(LEFT('MYP Assumptions'!$D$56,6)),0)</f>
        <v>2</v>
      </c>
      <c r="R141" s="2" t="s">
        <v>81</v>
      </c>
    </row>
    <row r="142" spans="1:32" x14ac:dyDescent="0.25">
      <c r="C142" s="2"/>
      <c r="D142" s="2"/>
      <c r="G142" s="108">
        <f>+G138*(LEFT('MYP Assumptions'!$D$57,5))</f>
        <v>110</v>
      </c>
      <c r="H142" s="108" t="s">
        <v>82</v>
      </c>
      <c r="K142" s="108">
        <f>+K138*(LEFT('MYP Assumptions'!$D$57,5))</f>
        <v>88</v>
      </c>
      <c r="L142" s="2" t="s">
        <v>82</v>
      </c>
      <c r="M142" s="36"/>
      <c r="N142" s="36"/>
      <c r="O142" s="108">
        <f>+O138*(LEFT('MYP Assumptions'!$D$57,5))</f>
        <v>44</v>
      </c>
      <c r="P142" s="2" t="s">
        <v>82</v>
      </c>
      <c r="Q142" s="108">
        <f>+Q138*(LEFT('MYP Assumptions'!$D$57,5))</f>
        <v>33</v>
      </c>
      <c r="R142" s="2" t="s">
        <v>82</v>
      </c>
    </row>
    <row r="143" spans="1:32" x14ac:dyDescent="0.25">
      <c r="M143" s="36"/>
      <c r="N143" s="36"/>
      <c r="Q143" s="2">
        <v>3000</v>
      </c>
      <c r="R143" s="2" t="s">
        <v>186</v>
      </c>
    </row>
    <row r="144" spans="1:32" x14ac:dyDescent="0.25">
      <c r="G144" s="2">
        <v>2000</v>
      </c>
      <c r="H144" s="2" t="s">
        <v>199</v>
      </c>
      <c r="K144" s="2">
        <v>0</v>
      </c>
      <c r="L144" s="2" t="s">
        <v>200</v>
      </c>
      <c r="M144" s="36"/>
      <c r="N144" s="36"/>
      <c r="O144" s="2">
        <v>0</v>
      </c>
      <c r="P144" s="2" t="s">
        <v>200</v>
      </c>
      <c r="Q144" s="2">
        <v>0</v>
      </c>
      <c r="R144" s="2" t="s">
        <v>200</v>
      </c>
    </row>
    <row r="145" spans="7:18" x14ac:dyDescent="0.25">
      <c r="G145" s="108">
        <f>ROUND(+G144*(LEFT('MYP Assumptions'!$D$53,6)),0)</f>
        <v>278</v>
      </c>
      <c r="H145" s="2" t="s">
        <v>77</v>
      </c>
      <c r="K145" s="108">
        <f>ROUND(+K144*(LEFT('MYP Assumptions'!$D$53,6)),0)</f>
        <v>0</v>
      </c>
      <c r="L145" s="2" t="s">
        <v>77</v>
      </c>
      <c r="M145" s="36"/>
      <c r="N145" s="36"/>
      <c r="O145" s="108">
        <f>ROUND(+O144*(LEFT('MYP Assumptions'!$D$53,6)),0)</f>
        <v>0</v>
      </c>
      <c r="P145" s="2" t="s">
        <v>77</v>
      </c>
      <c r="Q145" s="108">
        <f>ROUND(+Q144*(LEFT('MYP Assumptions'!$D$53,6)),0)</f>
        <v>0</v>
      </c>
      <c r="R145" s="2" t="s">
        <v>77</v>
      </c>
    </row>
    <row r="146" spans="7:18" x14ac:dyDescent="0.25">
      <c r="G146" s="108">
        <f>ROUND(+G144*(LEFT('MYP Assumptions'!$D$54,6)),0)</f>
        <v>124</v>
      </c>
      <c r="H146" s="2" t="s">
        <v>78</v>
      </c>
      <c r="K146" s="108">
        <f>ROUND(+K144*(LEFT('MYP Assumptions'!$D$54,6)),0)</f>
        <v>0</v>
      </c>
      <c r="L146" s="2" t="s">
        <v>78</v>
      </c>
      <c r="M146" s="36"/>
      <c r="N146" s="36"/>
      <c r="O146" s="108">
        <f>ROUND(+O144*(LEFT('MYP Assumptions'!$D$54,6)),0)</f>
        <v>0</v>
      </c>
      <c r="P146" s="2" t="s">
        <v>78</v>
      </c>
      <c r="Q146" s="108">
        <f>ROUND(+Q144*(LEFT('MYP Assumptions'!$D$54,6)),0)</f>
        <v>0</v>
      </c>
      <c r="R146" s="2" t="s">
        <v>78</v>
      </c>
    </row>
    <row r="147" spans="7:18" x14ac:dyDescent="0.25">
      <c r="G147" s="108">
        <f>ROUND(+G144*(LEFT('MYP Assumptions'!$D$55,6)),0)</f>
        <v>29</v>
      </c>
      <c r="H147" s="108" t="s">
        <v>79</v>
      </c>
      <c r="K147" s="108">
        <f>ROUND(+K144*(LEFT('MYP Assumptions'!$D$55,6)),0)</f>
        <v>0</v>
      </c>
      <c r="L147" s="108" t="s">
        <v>79</v>
      </c>
      <c r="M147" s="36"/>
      <c r="N147" s="36"/>
      <c r="O147" s="108">
        <f>ROUND(+O144*(LEFT('MYP Assumptions'!$D$55,6)),0)</f>
        <v>0</v>
      </c>
      <c r="P147" s="108" t="s">
        <v>79</v>
      </c>
      <c r="Q147" s="108">
        <f>ROUND(+Q144*(LEFT('MYP Assumptions'!$D$55,6)),0)</f>
        <v>0</v>
      </c>
      <c r="R147" s="108" t="s">
        <v>79</v>
      </c>
    </row>
    <row r="148" spans="7:18" x14ac:dyDescent="0.25">
      <c r="G148" s="108">
        <f>ROUND(+G144*(LEFT('MYP Assumptions'!$D$56,6)),0)</f>
        <v>1</v>
      </c>
      <c r="H148" s="108" t="s">
        <v>81</v>
      </c>
      <c r="K148" s="108">
        <f>ROUND(+K144*(LEFT('MYP Assumptions'!$D$56,6)),0)</f>
        <v>0</v>
      </c>
      <c r="L148" s="108" t="s">
        <v>81</v>
      </c>
      <c r="M148" s="36"/>
      <c r="N148" s="36"/>
      <c r="O148" s="108">
        <f>ROUND(+O144*(LEFT('MYP Assumptions'!$D$56,6)),0)</f>
        <v>0</v>
      </c>
      <c r="P148" s="108" t="s">
        <v>81</v>
      </c>
      <c r="Q148" s="108">
        <f>ROUND(+Q144*(LEFT('MYP Assumptions'!$D$56,6)),0)</f>
        <v>0</v>
      </c>
      <c r="R148" s="108" t="s">
        <v>81</v>
      </c>
    </row>
    <row r="149" spans="7:18" x14ac:dyDescent="0.25">
      <c r="G149" s="108">
        <f>+G144*(LEFT('MYP Assumptions'!$D$57,5))</f>
        <v>22</v>
      </c>
      <c r="H149" s="108" t="s">
        <v>82</v>
      </c>
      <c r="K149" s="108">
        <f>+K144*(LEFT('MYP Assumptions'!$D$57,5))</f>
        <v>0</v>
      </c>
      <c r="L149" s="108" t="s">
        <v>82</v>
      </c>
      <c r="M149" s="36"/>
      <c r="N149" s="36"/>
      <c r="O149" s="108">
        <f>+O144*(LEFT('MYP Assumptions'!$D$57,5))</f>
        <v>0</v>
      </c>
      <c r="P149" s="108" t="s">
        <v>82</v>
      </c>
      <c r="Q149" s="108">
        <f>+Q144*(LEFT('MYP Assumptions'!$D$57,5))</f>
        <v>0</v>
      </c>
      <c r="R149" s="108" t="s">
        <v>82</v>
      </c>
    </row>
    <row r="150" spans="7:18" x14ac:dyDescent="0.25">
      <c r="M150" s="36"/>
      <c r="N150" s="36"/>
    </row>
    <row r="151" spans="7:18" x14ac:dyDescent="0.25">
      <c r="G151" s="2">
        <v>1040</v>
      </c>
      <c r="H151" s="2" t="s">
        <v>190</v>
      </c>
      <c r="K151" s="2">
        <v>0</v>
      </c>
      <c r="L151" s="2" t="s">
        <v>190</v>
      </c>
      <c r="M151" s="36"/>
      <c r="N151" s="36"/>
      <c r="O151" s="2">
        <f>+M151</f>
        <v>0</v>
      </c>
      <c r="P151" s="2" t="s">
        <v>190</v>
      </c>
      <c r="Q151" s="2">
        <v>9628</v>
      </c>
      <c r="R151" s="2" t="s">
        <v>190</v>
      </c>
    </row>
    <row r="152" spans="7:18" x14ac:dyDescent="0.25">
      <c r="G152" s="2">
        <v>500</v>
      </c>
      <c r="H152" s="2" t="s">
        <v>189</v>
      </c>
      <c r="K152" s="2">
        <v>0</v>
      </c>
      <c r="L152" s="2" t="s">
        <v>189</v>
      </c>
      <c r="M152" s="36"/>
      <c r="N152" s="36"/>
      <c r="O152" s="2">
        <f>+M152</f>
        <v>0</v>
      </c>
      <c r="P152" s="2" t="s">
        <v>189</v>
      </c>
      <c r="Q152" s="2">
        <v>500</v>
      </c>
      <c r="R152" s="2" t="s">
        <v>189</v>
      </c>
    </row>
    <row r="153" spans="7:18" x14ac:dyDescent="0.25">
      <c r="G153" s="112">
        <f>SUM(G135:G152)</f>
        <v>39012</v>
      </c>
      <c r="K153" s="112">
        <f>SUM(K135:K152)</f>
        <v>39008</v>
      </c>
      <c r="M153" s="36"/>
      <c r="N153" s="36"/>
      <c r="O153" s="112">
        <f>SUM(O135:O152)</f>
        <v>39004</v>
      </c>
      <c r="Q153" s="112">
        <f>SUM(Q135:Q152)</f>
        <v>39003</v>
      </c>
    </row>
    <row r="154" spans="7:18" x14ac:dyDescent="0.25">
      <c r="M154" s="36"/>
      <c r="N154" s="36"/>
    </row>
    <row r="155" spans="7:18" x14ac:dyDescent="0.25">
      <c r="G155" s="2">
        <f>+G133-G153</f>
        <v>-12</v>
      </c>
      <c r="H155" s="2" t="s">
        <v>49</v>
      </c>
      <c r="K155" s="2">
        <f>+K133-K153</f>
        <v>-8</v>
      </c>
      <c r="L155" s="2" t="s">
        <v>49</v>
      </c>
      <c r="M155" s="36"/>
      <c r="N155" s="36"/>
      <c r="O155" s="2">
        <f>+O133-O153</f>
        <v>-4</v>
      </c>
      <c r="P155" s="2" t="s">
        <v>49</v>
      </c>
      <c r="Q155" s="2">
        <f>+Q133-Q153</f>
        <v>-3</v>
      </c>
      <c r="R155" s="2" t="s">
        <v>49</v>
      </c>
    </row>
  </sheetData>
  <mergeCells count="7">
    <mergeCell ref="A108:B108"/>
    <mergeCell ref="AD108:AE108"/>
    <mergeCell ref="H6:N6"/>
    <mergeCell ref="O6:U6"/>
    <mergeCell ref="V6:AB6"/>
    <mergeCell ref="B100:B105"/>
    <mergeCell ref="AE100:AE104"/>
  </mergeCells>
  <conditionalFormatting sqref="C108:E109 AH108:XFD109 G109:AF109 G108 I108 K108 M108 O108 Q108 S108 U108 W108 Y108 AA108 AC108:AF108">
    <cfRule type="cellIs" dxfId="27" priority="14" operator="greaterThan">
      <formula>1000</formula>
    </cfRule>
  </conditionalFormatting>
  <conditionalFormatting sqref="AF110:AF112 AF114:AF130">
    <cfRule type="cellIs" dxfId="26" priority="13" operator="greaterThan">
      <formula>1000</formula>
    </cfRule>
  </conditionalFormatting>
  <conditionalFormatting sqref="F108">
    <cfRule type="cellIs" dxfId="25" priority="12" operator="greaterThan">
      <formula>1000</formula>
    </cfRule>
  </conditionalFormatting>
  <conditionalFormatting sqref="H108">
    <cfRule type="cellIs" dxfId="24" priority="11" operator="greaterThan">
      <formula>1000</formula>
    </cfRule>
  </conditionalFormatting>
  <conditionalFormatting sqref="J108">
    <cfRule type="cellIs" dxfId="23" priority="10" operator="greaterThan">
      <formula>1000</formula>
    </cfRule>
  </conditionalFormatting>
  <conditionalFormatting sqref="L108">
    <cfRule type="cellIs" dxfId="22" priority="9" operator="greaterThan">
      <formula>1000</formula>
    </cfRule>
  </conditionalFormatting>
  <conditionalFormatting sqref="N108">
    <cfRule type="cellIs" dxfId="21" priority="8" operator="greaterThan">
      <formula>1000</formula>
    </cfRule>
  </conditionalFormatting>
  <conditionalFormatting sqref="P108">
    <cfRule type="cellIs" dxfId="20" priority="7" operator="greaterThan">
      <formula>1000</formula>
    </cfRule>
  </conditionalFormatting>
  <conditionalFormatting sqref="R108">
    <cfRule type="cellIs" dxfId="19" priority="6" operator="greaterThan">
      <formula>1000</formula>
    </cfRule>
  </conditionalFormatting>
  <conditionalFormatting sqref="T108">
    <cfRule type="cellIs" dxfId="18" priority="5" operator="greaterThan">
      <formula>1000</formula>
    </cfRule>
  </conditionalFormatting>
  <conditionalFormatting sqref="V108">
    <cfRule type="cellIs" dxfId="17" priority="4" operator="greaterThan">
      <formula>1000</formula>
    </cfRule>
  </conditionalFormatting>
  <conditionalFormatting sqref="X108">
    <cfRule type="cellIs" dxfId="16" priority="3" operator="greaterThan">
      <formula>1000</formula>
    </cfRule>
  </conditionalFormatting>
  <conditionalFormatting sqref="Z108">
    <cfRule type="cellIs" dxfId="15" priority="2" operator="greaterThan">
      <formula>1000</formula>
    </cfRule>
  </conditionalFormatting>
  <conditionalFormatting sqref="AB108">
    <cfRule type="cellIs" dxfId="14" priority="1" operator="greaterThan">
      <formula>1000</formula>
    </cfRule>
  </conditionalFormatting>
  <pageMargins left="0.25" right="0.25" top="0.25" bottom="0.25" header="0.25" footer="0.25"/>
  <pageSetup paperSize="5" scale="71" fitToWidth="4" orientation="landscape" cellComments="asDisplayed" r:id="rId1"/>
  <headerFooter>
    <oddHeader>&amp;R&amp;A</oddHeader>
    <oddFooter>&amp;L&amp;F&amp;CPage &amp;P of &amp;N&amp;R&amp;A</oddFooter>
  </headerFooter>
  <colBreaks count="4" manualBreakCount="4">
    <brk id="8" max="127" man="1"/>
    <brk id="16" max="127" man="1"/>
    <brk id="22" max="127" man="1"/>
    <brk id="28" max="127"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55"/>
  <sheetViews>
    <sheetView zoomScale="115" zoomScaleNormal="115" workbookViewId="0">
      <selection activeCell="C10" sqref="C10"/>
    </sheetView>
  </sheetViews>
  <sheetFormatPr defaultRowHeight="15" x14ac:dyDescent="0.25"/>
  <cols>
    <col min="1" max="1" width="8.5703125" style="37" customWidth="1"/>
    <col min="2" max="2" width="18.42578125" style="2" customWidth="1"/>
    <col min="3" max="3" width="16" style="3" customWidth="1"/>
    <col min="4" max="4" width="53.42578125" style="30" customWidth="1"/>
    <col min="5" max="5" width="16" style="2" customWidth="1"/>
    <col min="6" max="6" width="32.5703125" style="2" customWidth="1"/>
    <col min="7" max="7" width="16" style="2" customWidth="1"/>
    <col min="8" max="8" width="40.42578125" style="2" bestFit="1" customWidth="1"/>
    <col min="9" max="9" width="16" style="162" customWidth="1"/>
    <col min="10" max="10" width="26.7109375" style="2" bestFit="1" customWidth="1"/>
    <col min="11" max="11" width="16" style="2" customWidth="1"/>
    <col min="12" max="12" width="40.42578125" style="2" bestFit="1" customWidth="1"/>
    <col min="13" max="13" width="16" style="2" customWidth="1"/>
    <col min="14" max="14" width="26.7109375" style="2" bestFit="1" customWidth="1"/>
    <col min="15" max="15" width="16" style="2" customWidth="1"/>
    <col min="16" max="16" width="40.42578125" style="2" bestFit="1" customWidth="1"/>
    <col min="17" max="17" width="16" style="2" customWidth="1"/>
    <col min="18" max="18" width="54.140625" style="2" bestFit="1" customWidth="1"/>
    <col min="19" max="19" width="16" style="162" customWidth="1"/>
    <col min="20" max="20" width="47.5703125" style="2" bestFit="1" customWidth="1"/>
    <col min="21" max="21" width="16" style="2" customWidth="1"/>
    <col min="22" max="22" width="47.5703125" style="2" bestFit="1" customWidth="1"/>
    <col min="23" max="23" width="16" style="162" customWidth="1"/>
    <col min="24" max="24" width="47.5703125" style="2" bestFit="1" customWidth="1"/>
    <col min="25" max="25" width="16" style="2" customWidth="1"/>
    <col min="26" max="26" width="26.7109375" style="2" bestFit="1" customWidth="1"/>
    <col min="27" max="27" width="16" style="2" customWidth="1"/>
    <col min="28" max="28" width="47.5703125" style="2" bestFit="1" customWidth="1"/>
    <col min="29" max="29" width="4.140625" style="108" customWidth="1"/>
    <col min="30" max="30" width="8.5703125" style="37" customWidth="1"/>
    <col min="31" max="31" width="18.28515625" style="2" customWidth="1"/>
    <col min="32" max="32" width="16" style="2" customWidth="1"/>
    <col min="33" max="33" width="37.140625" style="2" bestFit="1" customWidth="1"/>
    <col min="34" max="34" width="23.85546875" style="2" bestFit="1" customWidth="1"/>
    <col min="35" max="16384" width="9.140625" style="2"/>
  </cols>
  <sheetData>
    <row r="1" spans="1:32" x14ac:dyDescent="0.25">
      <c r="A1" s="37" t="s">
        <v>61</v>
      </c>
      <c r="B1" s="17" t="s">
        <v>60</v>
      </c>
      <c r="C1" s="379"/>
      <c r="D1" s="380" t="s">
        <v>59</v>
      </c>
      <c r="E1" s="381">
        <v>3010</v>
      </c>
      <c r="AD1" s="382"/>
      <c r="AE1" s="36"/>
    </row>
    <row r="2" spans="1:32" x14ac:dyDescent="0.25">
      <c r="A2" s="37" t="s">
        <v>58</v>
      </c>
      <c r="B2" s="17" t="s">
        <v>57</v>
      </c>
      <c r="C2" s="379"/>
      <c r="AE2" s="36"/>
    </row>
    <row r="6" spans="1:32" s="1239" customFormat="1" ht="15.75" x14ac:dyDescent="0.25">
      <c r="A6" s="1237" t="s">
        <v>701</v>
      </c>
      <c r="B6" s="1237"/>
      <c r="C6" s="1237"/>
      <c r="D6" s="1237"/>
      <c r="E6" s="1237" t="str">
        <f>+A6</f>
        <v>2017-2018</v>
      </c>
      <c r="F6" s="1237"/>
      <c r="G6" s="1237"/>
      <c r="H6" s="2156" t="str">
        <f>+A6</f>
        <v>2017-2018</v>
      </c>
      <c r="I6" s="2156"/>
      <c r="J6" s="2156"/>
      <c r="K6" s="2156"/>
      <c r="L6" s="2156"/>
      <c r="M6" s="2156"/>
      <c r="N6" s="2156"/>
      <c r="O6" s="2156" t="str">
        <f>+A6</f>
        <v>2017-2018</v>
      </c>
      <c r="P6" s="2156"/>
      <c r="Q6" s="2156"/>
      <c r="R6" s="2156"/>
      <c r="S6" s="2156"/>
      <c r="T6" s="2156"/>
      <c r="U6" s="2156"/>
      <c r="V6" s="2156" t="str">
        <f>+A6</f>
        <v>2017-2018</v>
      </c>
      <c r="W6" s="2156"/>
      <c r="X6" s="2156"/>
      <c r="Y6" s="2156"/>
      <c r="Z6" s="2156"/>
      <c r="AA6" s="2156"/>
      <c r="AB6" s="2156"/>
      <c r="AC6" s="1238"/>
      <c r="AF6" s="1238" t="str">
        <f>+A6</f>
        <v>2017-2018</v>
      </c>
    </row>
    <row r="7" spans="1:32" x14ac:dyDescent="0.25">
      <c r="A7" s="127" t="s">
        <v>54</v>
      </c>
      <c r="C7" s="3">
        <v>0</v>
      </c>
      <c r="AD7" s="127" t="str">
        <f>A7</f>
        <v>Beginning Balance</v>
      </c>
      <c r="AF7" s="2">
        <f>C7</f>
        <v>0</v>
      </c>
    </row>
    <row r="8" spans="1:32" x14ac:dyDescent="0.25">
      <c r="B8" s="908" t="s">
        <v>818</v>
      </c>
      <c r="C8" s="1398"/>
      <c r="G8" s="37" t="s">
        <v>112</v>
      </c>
    </row>
    <row r="9" spans="1:32" x14ac:dyDescent="0.25">
      <c r="A9" s="37" t="s">
        <v>52</v>
      </c>
      <c r="B9" s="2" t="s">
        <v>814</v>
      </c>
      <c r="C9" s="3">
        <f>+E11</f>
        <v>1668077</v>
      </c>
      <c r="D9" s="37" t="s">
        <v>113</v>
      </c>
      <c r="E9" s="3">
        <v>1962443</v>
      </c>
      <c r="F9" s="131" t="s">
        <v>62</v>
      </c>
      <c r="G9" s="2">
        <v>400423.37</v>
      </c>
      <c r="AD9" s="127" t="str">
        <f>A9</f>
        <v>Revenue</v>
      </c>
      <c r="AE9" s="2" t="str">
        <f>B9</f>
        <v>Current Year - 2017-18</v>
      </c>
      <c r="AF9" s="2">
        <f>C9</f>
        <v>1668077</v>
      </c>
    </row>
    <row r="10" spans="1:32" x14ac:dyDescent="0.25">
      <c r="B10" s="2" t="s">
        <v>51</v>
      </c>
      <c r="C10" s="3">
        <v>1062358.3700000001</v>
      </c>
      <c r="D10" s="37" t="s">
        <v>111</v>
      </c>
      <c r="E10" s="2">
        <f>ROUND(+E9*0.15,0)</f>
        <v>294366</v>
      </c>
      <c r="F10" s="131" t="s">
        <v>62</v>
      </c>
      <c r="G10" s="2">
        <v>449954</v>
      </c>
      <c r="AE10" s="2" t="str">
        <f>B10</f>
        <v>Prior Carryover</v>
      </c>
      <c r="AF10" s="2">
        <f>C10</f>
        <v>1062358.3700000001</v>
      </c>
    </row>
    <row r="11" spans="1:32" x14ac:dyDescent="0.25">
      <c r="A11" s="127" t="s">
        <v>137</v>
      </c>
      <c r="C11" s="24">
        <f>SUM(C8:C10)</f>
        <v>2730435.37</v>
      </c>
      <c r="E11" s="161">
        <f>+E9-E10</f>
        <v>1668077</v>
      </c>
      <c r="F11" s="131" t="s">
        <v>63</v>
      </c>
      <c r="G11" s="17">
        <v>211981</v>
      </c>
      <c r="AD11" s="127" t="str">
        <f>A11</f>
        <v>TOTAL REVENUE</v>
      </c>
      <c r="AF11" s="8">
        <f>SUM(AF9:AF10)</f>
        <v>2730435.37</v>
      </c>
    </row>
    <row r="12" spans="1:32" x14ac:dyDescent="0.25">
      <c r="F12" s="131"/>
      <c r="G12" s="10">
        <f>SUM(G9:G11)</f>
        <v>1062358.3700000001</v>
      </c>
    </row>
    <row r="13" spans="1:32" x14ac:dyDescent="0.25">
      <c r="A13" s="1399">
        <v>3.6999999999999998E-2</v>
      </c>
      <c r="B13" s="2" t="s">
        <v>64</v>
      </c>
      <c r="C13" s="3">
        <f>ROUND(C11-(C11/(1+A13)),0)</f>
        <v>97422</v>
      </c>
      <c r="E13" s="2">
        <f>+E9*0.1</f>
        <v>196244.30000000002</v>
      </c>
      <c r="AD13" s="52">
        <f>A13</f>
        <v>3.6999999999999998E-2</v>
      </c>
      <c r="AE13" s="10" t="str">
        <f>B13</f>
        <v>Indirect Costs</v>
      </c>
      <c r="AF13" s="10">
        <f>C13</f>
        <v>97422</v>
      </c>
    </row>
    <row r="15" spans="1:32" x14ac:dyDescent="0.25">
      <c r="A15" s="127" t="s">
        <v>50</v>
      </c>
      <c r="C15" s="9">
        <f>SUM(C7,C11)-C13</f>
        <v>2633013.37</v>
      </c>
      <c r="D15" s="33"/>
      <c r="AD15" s="127" t="str">
        <f>A15</f>
        <v xml:space="preserve">TOTAL AVAILABLE </v>
      </c>
      <c r="AF15" s="10">
        <f>AF11-AF13</f>
        <v>2633013.37</v>
      </c>
    </row>
    <row r="16" spans="1:32" x14ac:dyDescent="0.25">
      <c r="D16" s="386"/>
    </row>
    <row r="17" spans="1:33" x14ac:dyDescent="0.25">
      <c r="B17" s="37" t="s">
        <v>98</v>
      </c>
      <c r="C17" s="422"/>
      <c r="D17" s="32"/>
      <c r="AE17" s="37"/>
    </row>
    <row r="18" spans="1:33" x14ac:dyDescent="0.25">
      <c r="C18" s="9" t="s">
        <v>745</v>
      </c>
      <c r="D18" s="32"/>
      <c r="E18" s="9" t="s">
        <v>745</v>
      </c>
      <c r="F18" s="32"/>
      <c r="G18" s="9" t="s">
        <v>745</v>
      </c>
      <c r="H18" s="32"/>
      <c r="I18" s="1194" t="s">
        <v>745</v>
      </c>
      <c r="J18" s="32"/>
      <c r="K18" s="9" t="s">
        <v>745</v>
      </c>
      <c r="L18" s="32"/>
      <c r="M18" s="9" t="s">
        <v>745</v>
      </c>
      <c r="N18" s="32"/>
      <c r="O18" s="9" t="s">
        <v>745</v>
      </c>
      <c r="P18" s="32"/>
      <c r="Q18" s="9" t="s">
        <v>745</v>
      </c>
      <c r="R18" s="32"/>
      <c r="S18" s="1194" t="s">
        <v>745</v>
      </c>
      <c r="T18" s="32"/>
      <c r="U18" s="9" t="s">
        <v>745</v>
      </c>
      <c r="V18" s="32"/>
      <c r="W18" s="1194" t="s">
        <v>745</v>
      </c>
      <c r="X18" s="32"/>
      <c r="Y18" s="9" t="s">
        <v>745</v>
      </c>
      <c r="Z18" s="32"/>
      <c r="AA18" s="9" t="s">
        <v>745</v>
      </c>
      <c r="AB18" s="32"/>
      <c r="AC18" s="32"/>
      <c r="AF18" s="32"/>
      <c r="AG18" s="32"/>
    </row>
    <row r="19" spans="1:33" ht="17.25" x14ac:dyDescent="0.4">
      <c r="C19" s="35" t="s">
        <v>75</v>
      </c>
      <c r="D19" s="34" t="s">
        <v>47</v>
      </c>
      <c r="E19" s="35" t="s">
        <v>99</v>
      </c>
      <c r="F19" s="34" t="s">
        <v>47</v>
      </c>
      <c r="G19" s="35" t="s">
        <v>100</v>
      </c>
      <c r="H19" s="34" t="s">
        <v>47</v>
      </c>
      <c r="I19" s="1195" t="s">
        <v>101</v>
      </c>
      <c r="J19" s="34" t="s">
        <v>47</v>
      </c>
      <c r="K19" s="35" t="s">
        <v>102</v>
      </c>
      <c r="L19" s="34" t="s">
        <v>47</v>
      </c>
      <c r="M19" s="35" t="s">
        <v>103</v>
      </c>
      <c r="N19" s="34" t="s">
        <v>47</v>
      </c>
      <c r="O19" s="35" t="s">
        <v>201</v>
      </c>
      <c r="P19" s="34" t="s">
        <v>47</v>
      </c>
      <c r="Q19" s="35" t="s">
        <v>202</v>
      </c>
      <c r="R19" s="34" t="s">
        <v>47</v>
      </c>
      <c r="S19" s="1195" t="s">
        <v>106</v>
      </c>
      <c r="T19" s="34" t="s">
        <v>47</v>
      </c>
      <c r="U19" s="35" t="s">
        <v>107</v>
      </c>
      <c r="V19" s="34" t="s">
        <v>47</v>
      </c>
      <c r="W19" s="1195" t="s">
        <v>108</v>
      </c>
      <c r="X19" s="34" t="s">
        <v>47</v>
      </c>
      <c r="Y19" s="35" t="s">
        <v>109</v>
      </c>
      <c r="Z19" s="34" t="s">
        <v>47</v>
      </c>
      <c r="AA19" s="35" t="s">
        <v>110</v>
      </c>
      <c r="AB19" s="34" t="s">
        <v>47</v>
      </c>
      <c r="AC19" s="79"/>
      <c r="AF19" s="35" t="s">
        <v>118</v>
      </c>
      <c r="AG19" s="34"/>
    </row>
    <row r="20" spans="1:33" s="10" customFormat="1" x14ac:dyDescent="0.25">
      <c r="A20" s="127" t="s">
        <v>46</v>
      </c>
      <c r="D20" s="33"/>
      <c r="F20" s="6"/>
      <c r="H20" s="6"/>
      <c r="I20" s="907"/>
      <c r="J20" s="6"/>
      <c r="L20" s="6"/>
      <c r="N20" s="6"/>
      <c r="P20" s="6"/>
      <c r="R20" s="6"/>
      <c r="S20" s="907"/>
      <c r="T20" s="6"/>
      <c r="V20" s="6"/>
      <c r="W20" s="907"/>
      <c r="X20" s="6"/>
      <c r="Z20" s="6"/>
      <c r="AB20" s="6"/>
      <c r="AC20" s="57"/>
      <c r="AD20" s="127" t="str">
        <f t="shared" ref="AD20:AE28" si="0">A20</f>
        <v xml:space="preserve">Certificated </v>
      </c>
    </row>
    <row r="21" spans="1:33" s="114" customFormat="1" x14ac:dyDescent="0.25">
      <c r="A21" s="387" t="s">
        <v>65</v>
      </c>
      <c r="B21" s="114" t="s">
        <v>66</v>
      </c>
      <c r="C21" s="117">
        <v>0</v>
      </c>
      <c r="D21" s="1227" t="s">
        <v>787</v>
      </c>
      <c r="E21" s="117">
        <v>2000</v>
      </c>
      <c r="F21" s="117"/>
      <c r="G21" s="117">
        <v>1000</v>
      </c>
      <c r="H21" s="117"/>
      <c r="I21" s="1196">
        <v>7313</v>
      </c>
      <c r="J21" s="117"/>
      <c r="K21" s="117">
        <f>+K138+3657</f>
        <v>11657</v>
      </c>
      <c r="L21" s="117"/>
      <c r="M21" s="117">
        <v>2600</v>
      </c>
      <c r="N21" s="117"/>
      <c r="O21" s="117">
        <v>9657</v>
      </c>
      <c r="P21" s="117"/>
      <c r="Q21" s="117">
        <f>4307+Q138</f>
        <v>7307</v>
      </c>
      <c r="R21" s="117"/>
      <c r="S21" s="1196">
        <v>8207</v>
      </c>
      <c r="T21" s="117"/>
      <c r="U21" s="117">
        <v>3605</v>
      </c>
      <c r="V21" s="117"/>
      <c r="W21" s="1196">
        <v>4662</v>
      </c>
      <c r="X21" s="117"/>
      <c r="Y21" s="117">
        <v>7800</v>
      </c>
      <c r="Z21" s="117"/>
      <c r="AA21" s="117">
        <v>8778</v>
      </c>
      <c r="AB21" s="117"/>
      <c r="AC21" s="118"/>
      <c r="AD21" s="387" t="str">
        <f t="shared" si="0"/>
        <v>1110</v>
      </c>
      <c r="AE21" s="114" t="str">
        <f t="shared" si="0"/>
        <v>Intervention Tchr.</v>
      </c>
      <c r="AF21" s="114">
        <f>SUM(C21,E21,G21,I21,K21,M21,O21,Q21,S21,U21,W21,Y21,AA21)</f>
        <v>74586</v>
      </c>
    </row>
    <row r="22" spans="1:33" s="114" customFormat="1" x14ac:dyDescent="0.25">
      <c r="A22" s="387" t="s">
        <v>45</v>
      </c>
      <c r="B22" s="114" t="s">
        <v>789</v>
      </c>
      <c r="C22" s="113">
        <v>9089</v>
      </c>
      <c r="D22" s="1227" t="s">
        <v>788</v>
      </c>
      <c r="E22" s="114">
        <v>0</v>
      </c>
      <c r="F22" s="115"/>
      <c r="G22" s="114">
        <v>0</v>
      </c>
      <c r="H22" s="115"/>
      <c r="I22" s="1197">
        <v>0</v>
      </c>
      <c r="J22" s="115"/>
      <c r="K22" s="114">
        <v>0</v>
      </c>
      <c r="L22" s="115"/>
      <c r="M22" s="114">
        <v>1050</v>
      </c>
      <c r="N22" s="115"/>
      <c r="O22" s="114">
        <v>0</v>
      </c>
      <c r="P22" s="115"/>
      <c r="Q22" s="114">
        <v>0</v>
      </c>
      <c r="R22" s="115"/>
      <c r="S22" s="1197">
        <v>150</v>
      </c>
      <c r="T22" s="115"/>
      <c r="U22" s="114">
        <v>0</v>
      </c>
      <c r="V22" s="115"/>
      <c r="W22" s="1197">
        <v>0</v>
      </c>
      <c r="X22" s="115"/>
      <c r="Y22" s="114">
        <v>0</v>
      </c>
      <c r="Z22" s="115"/>
      <c r="AA22" s="114">
        <v>0</v>
      </c>
      <c r="AB22" s="115"/>
      <c r="AC22" s="116"/>
      <c r="AD22" s="387" t="str">
        <f t="shared" si="0"/>
        <v>1112</v>
      </c>
      <c r="AE22" s="114" t="str">
        <f t="shared" si="0"/>
        <v>Supplemental Tchr./Extra Duty/Training</v>
      </c>
      <c r="AF22" s="114">
        <f t="shared" ref="AF22:AF28" si="1">SUM(C22,E22,G22,I22,K22,M22,O22,Q22,S22,U22,W22,Y22,AA22)</f>
        <v>10289</v>
      </c>
    </row>
    <row r="23" spans="1:33" s="114" customFormat="1" x14ac:dyDescent="0.25">
      <c r="A23" s="387" t="s">
        <v>43</v>
      </c>
      <c r="B23" s="114" t="s">
        <v>42</v>
      </c>
      <c r="C23" s="113">
        <v>69521</v>
      </c>
      <c r="D23" s="388"/>
      <c r="E23" s="114">
        <v>2500</v>
      </c>
      <c r="F23" s="115"/>
      <c r="G23" s="114">
        <v>4175</v>
      </c>
      <c r="H23" s="115"/>
      <c r="I23" s="1197">
        <v>12600</v>
      </c>
      <c r="J23" s="115"/>
      <c r="K23" s="114">
        <v>9672</v>
      </c>
      <c r="L23" s="115"/>
      <c r="M23" s="114">
        <v>9310</v>
      </c>
      <c r="N23" s="115"/>
      <c r="O23" s="114">
        <v>1050</v>
      </c>
      <c r="P23" s="115"/>
      <c r="Q23" s="114">
        <v>4340</v>
      </c>
      <c r="R23" s="115"/>
      <c r="S23" s="1197">
        <v>6591</v>
      </c>
      <c r="T23" s="115"/>
      <c r="U23" s="114">
        <v>7280</v>
      </c>
      <c r="V23" s="115"/>
      <c r="W23" s="1197">
        <v>3310</v>
      </c>
      <c r="X23" s="115"/>
      <c r="Y23" s="114">
        <v>6300</v>
      </c>
      <c r="Z23" s="115"/>
      <c r="AA23" s="114">
        <v>10000</v>
      </c>
      <c r="AB23" s="115"/>
      <c r="AC23" s="116"/>
      <c r="AD23" s="387" t="str">
        <f t="shared" si="0"/>
        <v>1181</v>
      </c>
      <c r="AE23" s="114" t="str">
        <f t="shared" si="0"/>
        <v>Subs</v>
      </c>
      <c r="AF23" s="114">
        <f t="shared" si="1"/>
        <v>146649</v>
      </c>
    </row>
    <row r="24" spans="1:33" s="114" customFormat="1" ht="30" x14ac:dyDescent="0.25">
      <c r="A24" s="387" t="s">
        <v>41</v>
      </c>
      <c r="B24" s="114" t="s">
        <v>40</v>
      </c>
      <c r="C24" s="113">
        <v>250203</v>
      </c>
      <c r="D24" s="389" t="s">
        <v>206</v>
      </c>
      <c r="E24" s="114">
        <v>0</v>
      </c>
      <c r="F24" s="115"/>
      <c r="G24" s="114">
        <v>0</v>
      </c>
      <c r="H24" s="115"/>
      <c r="I24" s="1197">
        <v>0</v>
      </c>
      <c r="J24" s="115"/>
      <c r="K24" s="114">
        <v>0</v>
      </c>
      <c r="L24" s="115"/>
      <c r="M24" s="114">
        <v>0</v>
      </c>
      <c r="N24" s="115"/>
      <c r="O24" s="114">
        <v>0</v>
      </c>
      <c r="P24" s="115"/>
      <c r="Q24" s="114">
        <v>0</v>
      </c>
      <c r="R24" s="115"/>
      <c r="S24" s="1197">
        <v>0</v>
      </c>
      <c r="T24" s="115"/>
      <c r="U24" s="114">
        <v>0</v>
      </c>
      <c r="V24" s="115"/>
      <c r="W24" s="1197">
        <v>0</v>
      </c>
      <c r="X24" s="115"/>
      <c r="Y24" s="114">
        <v>0</v>
      </c>
      <c r="Z24" s="115"/>
      <c r="AA24" s="114">
        <v>0</v>
      </c>
      <c r="AB24" s="115"/>
      <c r="AC24" s="116"/>
      <c r="AD24" s="387" t="str">
        <f t="shared" si="0"/>
        <v>1204</v>
      </c>
      <c r="AE24" s="114" t="str">
        <f t="shared" si="0"/>
        <v>Counselor</v>
      </c>
      <c r="AF24" s="114">
        <f t="shared" si="1"/>
        <v>250203</v>
      </c>
    </row>
    <row r="25" spans="1:33" s="114" customFormat="1" x14ac:dyDescent="0.25">
      <c r="A25" s="387" t="s">
        <v>67</v>
      </c>
      <c r="B25" s="114" t="s">
        <v>68</v>
      </c>
      <c r="C25" s="113">
        <v>0</v>
      </c>
      <c r="E25" s="114">
        <v>500</v>
      </c>
      <c r="F25" s="115"/>
      <c r="G25" s="114">
        <v>0</v>
      </c>
      <c r="H25" s="115"/>
      <c r="I25" s="1197">
        <v>457</v>
      </c>
      <c r="J25" s="115"/>
      <c r="K25" s="114">
        <v>0</v>
      </c>
      <c r="L25" s="115"/>
      <c r="M25" s="114">
        <v>0</v>
      </c>
      <c r="N25" s="115"/>
      <c r="O25" s="114">
        <v>0</v>
      </c>
      <c r="P25" s="115"/>
      <c r="Q25" s="114">
        <v>863</v>
      </c>
      <c r="R25" s="115"/>
      <c r="S25" s="1197">
        <v>0</v>
      </c>
      <c r="T25" s="115"/>
      <c r="U25" s="114">
        <v>0</v>
      </c>
      <c r="V25" s="115"/>
      <c r="W25" s="1197">
        <v>609</v>
      </c>
      <c r="X25" s="115"/>
      <c r="Y25" s="114">
        <v>0</v>
      </c>
      <c r="Z25" s="115"/>
      <c r="AA25" s="114">
        <v>1016</v>
      </c>
      <c r="AB25" s="115"/>
      <c r="AC25" s="116"/>
      <c r="AD25" s="387" t="str">
        <f t="shared" si="0"/>
        <v>1208</v>
      </c>
      <c r="AE25" s="114" t="str">
        <f t="shared" si="0"/>
        <v>Parent Instruction</v>
      </c>
      <c r="AF25" s="114">
        <f t="shared" si="1"/>
        <v>3445</v>
      </c>
    </row>
    <row r="26" spans="1:33" s="114" customFormat="1" x14ac:dyDescent="0.25">
      <c r="A26" s="387" t="s">
        <v>39</v>
      </c>
      <c r="B26" s="114" t="s">
        <v>38</v>
      </c>
      <c r="C26" s="113">
        <v>60345</v>
      </c>
      <c r="D26" s="115" t="s">
        <v>116</v>
      </c>
      <c r="E26" s="114">
        <v>0</v>
      </c>
      <c r="F26" s="115"/>
      <c r="G26" s="114">
        <v>0</v>
      </c>
      <c r="H26" s="115"/>
      <c r="I26" s="1197">
        <v>0</v>
      </c>
      <c r="J26" s="115"/>
      <c r="K26" s="114">
        <v>0</v>
      </c>
      <c r="L26" s="115"/>
      <c r="M26" s="114">
        <v>0</v>
      </c>
      <c r="N26" s="115"/>
      <c r="O26" s="114">
        <v>0</v>
      </c>
      <c r="P26" s="115"/>
      <c r="Q26" s="114">
        <v>0</v>
      </c>
      <c r="R26" s="115"/>
      <c r="S26" s="1197">
        <v>0</v>
      </c>
      <c r="T26" s="115"/>
      <c r="U26" s="114">
        <v>0</v>
      </c>
      <c r="V26" s="115"/>
      <c r="W26" s="1197">
        <v>0</v>
      </c>
      <c r="X26" s="115"/>
      <c r="Y26" s="114">
        <v>0</v>
      </c>
      <c r="Z26" s="115"/>
      <c r="AA26" s="114">
        <v>0</v>
      </c>
      <c r="AB26" s="115"/>
      <c r="AC26" s="116"/>
      <c r="AD26" s="387" t="str">
        <f t="shared" si="0"/>
        <v>1305</v>
      </c>
      <c r="AE26" s="114" t="str">
        <f t="shared" si="0"/>
        <v>Director</v>
      </c>
      <c r="AF26" s="114">
        <f t="shared" si="1"/>
        <v>60345</v>
      </c>
    </row>
    <row r="27" spans="1:33" s="114" customFormat="1" ht="75" x14ac:dyDescent="0.25">
      <c r="A27" s="387" t="s">
        <v>37</v>
      </c>
      <c r="B27" s="114" t="s">
        <v>36</v>
      </c>
      <c r="C27" s="117">
        <v>499600</v>
      </c>
      <c r="D27" s="389" t="s">
        <v>207</v>
      </c>
      <c r="E27" s="115">
        <v>0</v>
      </c>
      <c r="F27" s="115"/>
      <c r="G27" s="115">
        <v>0</v>
      </c>
      <c r="H27" s="115"/>
      <c r="I27" s="1198">
        <v>0</v>
      </c>
      <c r="J27" s="115"/>
      <c r="K27" s="115">
        <v>0</v>
      </c>
      <c r="L27" s="115"/>
      <c r="M27" s="115">
        <v>0</v>
      </c>
      <c r="N27" s="115"/>
      <c r="O27" s="115">
        <v>0</v>
      </c>
      <c r="P27" s="115"/>
      <c r="Q27" s="115">
        <v>0</v>
      </c>
      <c r="R27" s="115"/>
      <c r="S27" s="1198">
        <v>0</v>
      </c>
      <c r="T27" s="115"/>
      <c r="U27" s="115">
        <v>0</v>
      </c>
      <c r="V27" s="115"/>
      <c r="W27" s="1198">
        <v>0</v>
      </c>
      <c r="X27" s="115"/>
      <c r="Y27" s="115">
        <v>0</v>
      </c>
      <c r="Z27" s="115"/>
      <c r="AA27" s="115">
        <v>0</v>
      </c>
      <c r="AB27" s="115"/>
      <c r="AC27" s="116"/>
      <c r="AD27" s="387" t="str">
        <f t="shared" si="0"/>
        <v>1901</v>
      </c>
      <c r="AE27" s="114" t="str">
        <f t="shared" si="0"/>
        <v>Inst. Coaches</v>
      </c>
      <c r="AF27" s="114">
        <f>SUM(C27,E27,G27,I27,K27,M27,O27,Q27,S27,U27,W27,Y27,AA27)</f>
        <v>499600</v>
      </c>
    </row>
    <row r="28" spans="1:33" x14ac:dyDescent="0.25">
      <c r="A28" s="131" t="s">
        <v>204</v>
      </c>
      <c r="B28" s="2" t="s">
        <v>205</v>
      </c>
      <c r="C28" s="25">
        <f>+C132</f>
        <v>10000</v>
      </c>
      <c r="E28" s="36">
        <v>0</v>
      </c>
      <c r="F28" s="36"/>
      <c r="G28" s="36">
        <v>0</v>
      </c>
      <c r="H28" s="36"/>
      <c r="I28" s="1199">
        <v>0</v>
      </c>
      <c r="J28" s="36"/>
      <c r="K28" s="36">
        <v>0</v>
      </c>
      <c r="L28" s="36"/>
      <c r="M28" s="36">
        <v>0</v>
      </c>
      <c r="N28" s="36"/>
      <c r="O28" s="36">
        <v>0</v>
      </c>
      <c r="P28" s="36"/>
      <c r="Q28" s="36">
        <v>0</v>
      </c>
      <c r="R28" s="36"/>
      <c r="S28" s="1199">
        <v>0</v>
      </c>
      <c r="T28" s="36"/>
      <c r="U28" s="36">
        <v>0</v>
      </c>
      <c r="V28" s="36"/>
      <c r="W28" s="1199">
        <v>0</v>
      </c>
      <c r="X28" s="36"/>
      <c r="Y28" s="36">
        <v>0</v>
      </c>
      <c r="Z28" s="36"/>
      <c r="AA28" s="36">
        <v>0</v>
      </c>
      <c r="AB28" s="36"/>
      <c r="AC28" s="66"/>
      <c r="AD28" s="131" t="str">
        <f t="shared" si="0"/>
        <v>1923</v>
      </c>
      <c r="AE28" s="2" t="str">
        <f t="shared" si="0"/>
        <v>Mentors</v>
      </c>
      <c r="AF28" s="2">
        <f t="shared" si="1"/>
        <v>10000</v>
      </c>
    </row>
    <row r="29" spans="1:33" ht="6.75" customHeight="1" x14ac:dyDescent="0.25">
      <c r="A29" s="131"/>
      <c r="C29" s="25"/>
      <c r="E29" s="36"/>
      <c r="F29" s="36"/>
      <c r="G29" s="36"/>
      <c r="H29" s="36"/>
      <c r="I29" s="1199"/>
      <c r="J29" s="36"/>
      <c r="K29" s="36"/>
      <c r="L29" s="36"/>
      <c r="M29" s="36"/>
      <c r="N29" s="36"/>
      <c r="O29" s="36"/>
      <c r="P29" s="36"/>
      <c r="Q29" s="36"/>
      <c r="R29" s="36"/>
      <c r="S29" s="1199"/>
      <c r="T29" s="36"/>
      <c r="U29" s="36"/>
      <c r="V29" s="36"/>
      <c r="W29" s="1199"/>
      <c r="X29" s="36"/>
      <c r="Y29" s="36"/>
      <c r="Z29" s="36"/>
      <c r="AA29" s="36"/>
      <c r="AB29" s="36"/>
      <c r="AC29" s="66"/>
      <c r="AD29" s="131"/>
    </row>
    <row r="30" spans="1:33" x14ac:dyDescent="0.25">
      <c r="A30" s="131"/>
      <c r="C30" s="8">
        <f>SUM(C21:C29)</f>
        <v>898758</v>
      </c>
      <c r="D30" s="2"/>
      <c r="E30" s="8">
        <f>SUM(E21:E29)</f>
        <v>5000</v>
      </c>
      <c r="F30" s="5"/>
      <c r="G30" s="8">
        <f>SUM(G21:G29)</f>
        <v>5175</v>
      </c>
      <c r="H30" s="5"/>
      <c r="I30" s="1200">
        <f>SUM(I21:I29)</f>
        <v>20370</v>
      </c>
      <c r="J30" s="5"/>
      <c r="K30" s="8">
        <f>SUM(K21:K29)</f>
        <v>21329</v>
      </c>
      <c r="L30" s="5"/>
      <c r="M30" s="8">
        <f>SUM(M21:M29)</f>
        <v>12960</v>
      </c>
      <c r="N30" s="5"/>
      <c r="O30" s="8">
        <f>SUM(O21:O29)</f>
        <v>10707</v>
      </c>
      <c r="P30" s="5"/>
      <c r="Q30" s="8">
        <f>SUM(Q21:Q29)</f>
        <v>12510</v>
      </c>
      <c r="R30" s="5"/>
      <c r="S30" s="1200">
        <f>SUM(S21:S29)</f>
        <v>14948</v>
      </c>
      <c r="T30" s="5"/>
      <c r="U30" s="8">
        <f>SUM(U21:U29)</f>
        <v>10885</v>
      </c>
      <c r="V30" s="5"/>
      <c r="W30" s="1200">
        <f>SUM(W21:W29)</f>
        <v>8581</v>
      </c>
      <c r="X30" s="5"/>
      <c r="Y30" s="8">
        <f>SUM(Y21:Y29)</f>
        <v>14100</v>
      </c>
      <c r="Z30" s="5"/>
      <c r="AA30" s="8">
        <f>SUM(AA21:AA29)</f>
        <v>19794</v>
      </c>
      <c r="AB30" s="5"/>
      <c r="AC30" s="29"/>
      <c r="AD30" s="131"/>
      <c r="AF30" s="8">
        <f>SUM(AF21:AF29)</f>
        <v>1055117</v>
      </c>
    </row>
    <row r="31" spans="1:33" x14ac:dyDescent="0.25">
      <c r="D31" s="2"/>
      <c r="F31" s="36"/>
      <c r="H31" s="36"/>
      <c r="J31" s="36"/>
      <c r="L31" s="36"/>
      <c r="N31" s="36"/>
      <c r="P31" s="36"/>
      <c r="R31" s="36"/>
      <c r="T31" s="36"/>
      <c r="V31" s="36"/>
      <c r="X31" s="36"/>
      <c r="Z31" s="36"/>
      <c r="AB31" s="36"/>
      <c r="AC31" s="66"/>
    </row>
    <row r="32" spans="1:33" s="6" customFormat="1" x14ac:dyDescent="0.25">
      <c r="A32" s="33" t="s">
        <v>35</v>
      </c>
      <c r="D32" s="33"/>
      <c r="I32" s="1201"/>
      <c r="S32" s="1201"/>
      <c r="W32" s="1201"/>
      <c r="AC32" s="57"/>
      <c r="AD32" s="33" t="str">
        <f t="shared" ref="AD32:AE39" si="2">A32</f>
        <v>Classified</v>
      </c>
    </row>
    <row r="33" spans="1:32" x14ac:dyDescent="0.25">
      <c r="A33" s="131" t="s">
        <v>69</v>
      </c>
      <c r="B33" s="2" t="s">
        <v>70</v>
      </c>
      <c r="C33" s="3">
        <v>0</v>
      </c>
      <c r="E33" s="2">
        <v>0</v>
      </c>
      <c r="F33" s="36"/>
      <c r="G33" s="2">
        <f>16243+G144</f>
        <v>18243</v>
      </c>
      <c r="H33" s="36"/>
      <c r="I33" s="162">
        <v>28486</v>
      </c>
      <c r="J33" s="36"/>
      <c r="K33" s="2">
        <v>0</v>
      </c>
      <c r="L33" s="36"/>
      <c r="M33" s="2">
        <v>0</v>
      </c>
      <c r="N33" s="36"/>
      <c r="O33" s="2">
        <v>0</v>
      </c>
      <c r="P33" s="36"/>
      <c r="Q33" s="2">
        <v>0</v>
      </c>
      <c r="R33" s="36"/>
      <c r="S33" s="162">
        <v>25204</v>
      </c>
      <c r="T33" s="36"/>
      <c r="U33" s="2">
        <v>0</v>
      </c>
      <c r="V33" s="36"/>
      <c r="W33" s="162">
        <v>27270</v>
      </c>
      <c r="X33" s="36"/>
      <c r="Y33" s="2">
        <v>0</v>
      </c>
      <c r="Z33" s="36"/>
      <c r="AA33" s="2">
        <v>0</v>
      </c>
      <c r="AB33" s="36"/>
      <c r="AC33" s="66"/>
      <c r="AD33" s="131" t="str">
        <f t="shared" si="2"/>
        <v>2101</v>
      </c>
      <c r="AE33" s="2" t="str">
        <f t="shared" si="2"/>
        <v>Para Lrning Asstnt</v>
      </c>
      <c r="AF33" s="2">
        <f>SUM(C33,E33,G33,I33,K33,M33,O33,Q33,S33,U33,W33,Y33,AA33)</f>
        <v>99203</v>
      </c>
    </row>
    <row r="34" spans="1:32" x14ac:dyDescent="0.25">
      <c r="A34" s="131" t="s">
        <v>34</v>
      </c>
      <c r="B34" s="2" t="s">
        <v>33</v>
      </c>
      <c r="C34" s="3">
        <v>0</v>
      </c>
      <c r="E34" s="2">
        <v>0</v>
      </c>
      <c r="F34" s="36"/>
      <c r="G34" s="2">
        <v>0</v>
      </c>
      <c r="H34" s="36"/>
      <c r="I34" s="162">
        <v>0</v>
      </c>
      <c r="J34" s="36"/>
      <c r="K34" s="2">
        <v>0</v>
      </c>
      <c r="L34" s="36"/>
      <c r="M34" s="2">
        <v>0</v>
      </c>
      <c r="N34" s="36"/>
      <c r="O34" s="2">
        <v>0</v>
      </c>
      <c r="P34" s="36"/>
      <c r="Q34" s="2">
        <v>0</v>
      </c>
      <c r="R34" s="36"/>
      <c r="S34" s="162">
        <v>0</v>
      </c>
      <c r="T34" s="36"/>
      <c r="U34" s="2">
        <v>0</v>
      </c>
      <c r="V34" s="36"/>
      <c r="W34" s="162">
        <v>0</v>
      </c>
      <c r="X34" s="36"/>
      <c r="Y34" s="2">
        <v>0</v>
      </c>
      <c r="Z34" s="36"/>
      <c r="AA34" s="2">
        <v>0</v>
      </c>
      <c r="AB34" s="36"/>
      <c r="AC34" s="66"/>
      <c r="AD34" s="131" t="str">
        <f t="shared" si="2"/>
        <v>2273</v>
      </c>
      <c r="AE34" s="2" t="str">
        <f t="shared" si="2"/>
        <v>Extra Clss Support</v>
      </c>
      <c r="AF34" s="2">
        <f t="shared" ref="AF34:AF39" si="3">SUM(C34,E34,G34,I34,K34,M34,O34,Q34,S34,U34,W34,Y34,AA34)</f>
        <v>0</v>
      </c>
    </row>
    <row r="35" spans="1:32" x14ac:dyDescent="0.25">
      <c r="A35" s="131" t="s">
        <v>32</v>
      </c>
      <c r="B35" s="2" t="s">
        <v>31</v>
      </c>
      <c r="C35" s="3">
        <v>18222</v>
      </c>
      <c r="D35" s="30" t="s">
        <v>115</v>
      </c>
      <c r="E35" s="2">
        <v>0</v>
      </c>
      <c r="F35" s="36"/>
      <c r="G35" s="2">
        <v>0</v>
      </c>
      <c r="H35" s="36"/>
      <c r="I35" s="162">
        <v>0</v>
      </c>
      <c r="J35" s="36"/>
      <c r="K35" s="2">
        <v>0</v>
      </c>
      <c r="L35" s="36"/>
      <c r="M35" s="2">
        <v>0</v>
      </c>
      <c r="N35" s="36"/>
      <c r="O35" s="2">
        <v>0</v>
      </c>
      <c r="P35" s="36"/>
      <c r="Q35" s="2">
        <v>0</v>
      </c>
      <c r="R35" s="36"/>
      <c r="S35" s="162">
        <v>0</v>
      </c>
      <c r="T35" s="36"/>
      <c r="U35" s="2">
        <v>0</v>
      </c>
      <c r="V35" s="36"/>
      <c r="W35" s="162">
        <v>0</v>
      </c>
      <c r="X35" s="36"/>
      <c r="Y35" s="2">
        <v>0</v>
      </c>
      <c r="Z35" s="36"/>
      <c r="AA35" s="2">
        <v>0</v>
      </c>
      <c r="AB35" s="36"/>
      <c r="AC35" s="66"/>
      <c r="AD35" s="131" t="str">
        <f t="shared" si="2"/>
        <v>2404</v>
      </c>
      <c r="AE35" s="2" t="str">
        <f t="shared" si="2"/>
        <v>Secretary</v>
      </c>
      <c r="AF35" s="2">
        <f t="shared" si="3"/>
        <v>18222</v>
      </c>
    </row>
    <row r="36" spans="1:32" x14ac:dyDescent="0.25">
      <c r="A36" s="131" t="s">
        <v>30</v>
      </c>
      <c r="B36" s="2" t="s">
        <v>29</v>
      </c>
      <c r="C36" s="3">
        <v>1236</v>
      </c>
      <c r="E36" s="2">
        <v>0</v>
      </c>
      <c r="F36" s="36"/>
      <c r="G36" s="2">
        <v>0</v>
      </c>
      <c r="H36" s="36"/>
      <c r="I36" s="162">
        <v>0</v>
      </c>
      <c r="J36" s="36"/>
      <c r="K36" s="2">
        <v>102</v>
      </c>
      <c r="L36" s="36"/>
      <c r="M36" s="2">
        <v>0</v>
      </c>
      <c r="N36" s="36"/>
      <c r="O36" s="2">
        <v>0</v>
      </c>
      <c r="P36" s="36"/>
      <c r="Q36" s="2">
        <v>0</v>
      </c>
      <c r="R36" s="36"/>
      <c r="S36" s="162">
        <v>0</v>
      </c>
      <c r="T36" s="36"/>
      <c r="U36" s="2">
        <v>0</v>
      </c>
      <c r="V36" s="36"/>
      <c r="W36" s="162">
        <v>0</v>
      </c>
      <c r="X36" s="36"/>
      <c r="Y36" s="2">
        <v>0</v>
      </c>
      <c r="Z36" s="36"/>
      <c r="AA36" s="2">
        <v>0</v>
      </c>
      <c r="AB36" s="36"/>
      <c r="AC36" s="66"/>
      <c r="AD36" s="131" t="str">
        <f t="shared" si="2"/>
        <v>2481</v>
      </c>
      <c r="AE36" s="2" t="str">
        <f t="shared" si="2"/>
        <v>Sub. Office</v>
      </c>
      <c r="AF36" s="2">
        <f t="shared" si="3"/>
        <v>1338</v>
      </c>
    </row>
    <row r="37" spans="1:32" x14ac:dyDescent="0.25">
      <c r="A37" s="131" t="s">
        <v>72</v>
      </c>
      <c r="B37" s="2" t="s">
        <v>71</v>
      </c>
      <c r="C37" s="3">
        <v>0</v>
      </c>
      <c r="E37" s="2">
        <v>0</v>
      </c>
      <c r="F37" s="36"/>
      <c r="G37" s="2">
        <v>0</v>
      </c>
      <c r="H37" s="36"/>
      <c r="I37" s="162">
        <v>0</v>
      </c>
      <c r="J37" s="36"/>
      <c r="K37" s="2">
        <v>0</v>
      </c>
      <c r="L37" s="36"/>
      <c r="M37" s="2">
        <v>0</v>
      </c>
      <c r="N37" s="36"/>
      <c r="O37" s="2">
        <v>0</v>
      </c>
      <c r="P37" s="36"/>
      <c r="Q37" s="2">
        <v>407</v>
      </c>
      <c r="R37" s="36"/>
      <c r="S37" s="162">
        <v>0</v>
      </c>
      <c r="T37" s="36"/>
      <c r="U37" s="2">
        <v>167</v>
      </c>
      <c r="V37" s="36"/>
      <c r="W37" s="162">
        <v>370</v>
      </c>
      <c r="X37" s="36"/>
      <c r="Y37" s="2">
        <v>0</v>
      </c>
      <c r="Z37" s="36"/>
      <c r="AA37" s="2">
        <v>556</v>
      </c>
      <c r="AB37" s="36"/>
      <c r="AC37" s="66"/>
      <c r="AD37" s="131" t="str">
        <f t="shared" si="2"/>
        <v>2901</v>
      </c>
      <c r="AE37" s="2" t="str">
        <f t="shared" si="2"/>
        <v>Babysitter</v>
      </c>
      <c r="AF37" s="2">
        <f t="shared" si="3"/>
        <v>1500</v>
      </c>
    </row>
    <row r="38" spans="1:32" x14ac:dyDescent="0.25">
      <c r="A38" s="131" t="s">
        <v>114</v>
      </c>
      <c r="B38" s="2" t="s">
        <v>117</v>
      </c>
      <c r="C38" s="3">
        <v>0</v>
      </c>
      <c r="E38" s="2">
        <v>210</v>
      </c>
      <c r="F38" s="36"/>
      <c r="G38" s="2">
        <v>304</v>
      </c>
      <c r="H38" s="36"/>
      <c r="I38" s="162">
        <v>85</v>
      </c>
      <c r="J38" s="36"/>
      <c r="K38" s="2">
        <v>406</v>
      </c>
      <c r="L38" s="36"/>
      <c r="M38" s="2">
        <v>1388</v>
      </c>
      <c r="N38" s="36"/>
      <c r="O38" s="2">
        <v>793</v>
      </c>
      <c r="P38" s="36"/>
      <c r="Q38" s="2">
        <v>814</v>
      </c>
      <c r="R38" s="36"/>
      <c r="S38" s="162">
        <v>169</v>
      </c>
      <c r="T38" s="36"/>
      <c r="U38" s="2">
        <v>339</v>
      </c>
      <c r="V38" s="36"/>
      <c r="W38" s="162">
        <v>337</v>
      </c>
      <c r="X38" s="36"/>
      <c r="Y38" s="2">
        <v>237</v>
      </c>
      <c r="Z38" s="36"/>
      <c r="AA38" s="2">
        <v>4233</v>
      </c>
      <c r="AB38" s="36"/>
      <c r="AC38" s="66"/>
      <c r="AD38" s="131" t="str">
        <f t="shared" si="2"/>
        <v>2910</v>
      </c>
      <c r="AE38" s="2" t="str">
        <f t="shared" si="2"/>
        <v>Interpreters</v>
      </c>
      <c r="AF38" s="2">
        <f t="shared" si="3"/>
        <v>9315</v>
      </c>
    </row>
    <row r="39" spans="1:32" x14ac:dyDescent="0.25">
      <c r="A39" s="131" t="s">
        <v>73</v>
      </c>
      <c r="B39" s="2" t="s">
        <v>74</v>
      </c>
      <c r="C39" s="3">
        <v>0</v>
      </c>
      <c r="E39" s="2">
        <v>0</v>
      </c>
      <c r="F39" s="36"/>
      <c r="G39" s="2">
        <v>0</v>
      </c>
      <c r="H39" s="36"/>
      <c r="I39" s="162">
        <v>0</v>
      </c>
      <c r="J39" s="36"/>
      <c r="K39" s="2">
        <v>0</v>
      </c>
      <c r="L39" s="36"/>
      <c r="M39" s="2">
        <v>0</v>
      </c>
      <c r="N39" s="36"/>
      <c r="O39" s="2">
        <v>0</v>
      </c>
      <c r="P39" s="36"/>
      <c r="Q39" s="2">
        <v>0</v>
      </c>
      <c r="R39" s="36"/>
      <c r="S39" s="162">
        <v>0</v>
      </c>
      <c r="T39" s="36"/>
      <c r="U39" s="2">
        <v>0</v>
      </c>
      <c r="V39" s="36"/>
      <c r="W39" s="162">
        <v>0</v>
      </c>
      <c r="X39" s="36"/>
      <c r="Y39" s="2">
        <v>0</v>
      </c>
      <c r="Z39" s="36"/>
      <c r="AA39" s="2">
        <v>440</v>
      </c>
      <c r="AB39" s="36"/>
      <c r="AC39" s="66"/>
      <c r="AD39" s="131" t="str">
        <f t="shared" si="2"/>
        <v>2924</v>
      </c>
      <c r="AE39" s="2" t="str">
        <f t="shared" si="2"/>
        <v>Parent Ed. Aide</v>
      </c>
      <c r="AF39" s="2">
        <f t="shared" si="3"/>
        <v>440</v>
      </c>
    </row>
    <row r="40" spans="1:32" ht="6" customHeight="1" x14ac:dyDescent="0.25">
      <c r="A40" s="131"/>
      <c r="F40" s="36"/>
      <c r="H40" s="36"/>
      <c r="J40" s="36"/>
      <c r="L40" s="36"/>
      <c r="N40" s="36"/>
      <c r="P40" s="36"/>
      <c r="R40" s="36"/>
      <c r="T40" s="36"/>
      <c r="V40" s="36"/>
      <c r="X40" s="36"/>
      <c r="Z40" s="36"/>
      <c r="AB40" s="36"/>
      <c r="AC40" s="66"/>
      <c r="AD40" s="131"/>
    </row>
    <row r="41" spans="1:32" x14ac:dyDescent="0.25">
      <c r="A41" s="131"/>
      <c r="C41" s="8">
        <f>SUM(C33:C40)</f>
        <v>19458</v>
      </c>
      <c r="D41" s="33"/>
      <c r="E41" s="8">
        <f>SUM(E33:E40)</f>
        <v>210</v>
      </c>
      <c r="F41" s="5"/>
      <c r="G41" s="8">
        <f>SUM(G33:G40)</f>
        <v>18547</v>
      </c>
      <c r="H41" s="5"/>
      <c r="I41" s="1200">
        <f>SUM(I33:I40)</f>
        <v>28571</v>
      </c>
      <c r="J41" s="5"/>
      <c r="K41" s="8">
        <f>SUM(K33:K40)</f>
        <v>508</v>
      </c>
      <c r="L41" s="5"/>
      <c r="M41" s="8">
        <f>SUM(M33:M40)</f>
        <v>1388</v>
      </c>
      <c r="N41" s="5"/>
      <c r="O41" s="8">
        <f>SUM(O33:O40)</f>
        <v>793</v>
      </c>
      <c r="P41" s="5"/>
      <c r="Q41" s="8">
        <f>SUM(Q33:Q40)</f>
        <v>1221</v>
      </c>
      <c r="R41" s="5"/>
      <c r="S41" s="1200">
        <f>SUM(S33:S40)</f>
        <v>25373</v>
      </c>
      <c r="T41" s="5"/>
      <c r="U41" s="8">
        <f>SUM(U33:U40)</f>
        <v>506</v>
      </c>
      <c r="V41" s="5"/>
      <c r="W41" s="1200">
        <f>SUM(W33:W40)</f>
        <v>27977</v>
      </c>
      <c r="X41" s="5"/>
      <c r="Y41" s="8">
        <f>SUM(Y33:Y40)</f>
        <v>237</v>
      </c>
      <c r="Z41" s="5"/>
      <c r="AA41" s="8">
        <f>SUM(AA33:AA40)</f>
        <v>5229</v>
      </c>
      <c r="AB41" s="5"/>
      <c r="AC41" s="29"/>
      <c r="AD41" s="131"/>
      <c r="AF41" s="8">
        <f>SUM(AF33:AF40)</f>
        <v>130018</v>
      </c>
    </row>
    <row r="42" spans="1:32" x14ac:dyDescent="0.25">
      <c r="A42" s="37" t="s">
        <v>28</v>
      </c>
      <c r="F42" s="36"/>
      <c r="H42" s="36"/>
      <c r="J42" s="36"/>
      <c r="L42" s="36"/>
      <c r="N42" s="36"/>
      <c r="P42" s="36"/>
      <c r="R42" s="36"/>
      <c r="T42" s="36"/>
      <c r="V42" s="36"/>
      <c r="X42" s="36"/>
      <c r="Z42" s="36"/>
      <c r="AB42" s="36"/>
      <c r="AC42" s="66"/>
      <c r="AD42" s="37" t="str">
        <f t="shared" ref="AD42:AE51" si="4">A42</f>
        <v xml:space="preserve">  </v>
      </c>
    </row>
    <row r="43" spans="1:32" x14ac:dyDescent="0.25">
      <c r="A43" s="127" t="s">
        <v>27</v>
      </c>
      <c r="C43" s="9"/>
      <c r="D43" s="33"/>
      <c r="E43" s="10"/>
      <c r="F43" s="6"/>
      <c r="G43" s="10"/>
      <c r="H43" s="6"/>
      <c r="I43" s="907"/>
      <c r="J43" s="6"/>
      <c r="K43" s="10"/>
      <c r="L43" s="6"/>
      <c r="M43" s="10"/>
      <c r="N43" s="6"/>
      <c r="O43" s="10"/>
      <c r="P43" s="6"/>
      <c r="Q43" s="10"/>
      <c r="R43" s="6"/>
      <c r="S43" s="907"/>
      <c r="T43" s="6"/>
      <c r="U43" s="10"/>
      <c r="V43" s="6"/>
      <c r="W43" s="907"/>
      <c r="X43" s="6"/>
      <c r="Y43" s="10"/>
      <c r="Z43" s="6"/>
      <c r="AA43" s="10"/>
      <c r="AB43" s="6"/>
      <c r="AC43" s="57"/>
      <c r="AD43" s="127" t="str">
        <f t="shared" si="4"/>
        <v>Benefits</v>
      </c>
    </row>
    <row r="44" spans="1:32" x14ac:dyDescent="0.25">
      <c r="A44" s="131" t="s">
        <v>83</v>
      </c>
      <c r="B44" s="2" t="s">
        <v>76</v>
      </c>
      <c r="C44" s="3">
        <f>119847-9892+C133</f>
        <v>111213</v>
      </c>
      <c r="E44" s="2">
        <v>2437</v>
      </c>
      <c r="F44" s="36"/>
      <c r="G44" s="2">
        <f>1032+G139</f>
        <v>2290</v>
      </c>
      <c r="H44" s="36"/>
      <c r="I44" s="162">
        <v>1282</v>
      </c>
      <c r="J44" s="36"/>
      <c r="K44" s="2">
        <f>1694+K139</f>
        <v>2700</v>
      </c>
      <c r="L44" s="36"/>
      <c r="M44" s="2">
        <v>1630</v>
      </c>
      <c r="N44" s="36"/>
      <c r="O44" s="2">
        <f>687+O139</f>
        <v>1190</v>
      </c>
      <c r="P44" s="36"/>
      <c r="Q44" s="2">
        <f>1196+Q139</f>
        <v>1573</v>
      </c>
      <c r="R44" s="36"/>
      <c r="S44" s="162">
        <v>1485</v>
      </c>
      <c r="T44" s="36"/>
      <c r="U44" s="2">
        <f>2971+23</f>
        <v>2994</v>
      </c>
      <c r="V44" s="36"/>
      <c r="W44" s="162">
        <v>2425</v>
      </c>
      <c r="X44" s="36"/>
      <c r="Y44" s="2">
        <v>1774</v>
      </c>
      <c r="Z44" s="36"/>
      <c r="AA44" s="2">
        <v>2490</v>
      </c>
      <c r="AB44" s="36"/>
      <c r="AC44" s="66"/>
      <c r="AD44" s="131" t="str">
        <f t="shared" si="4"/>
        <v>310X</v>
      </c>
      <c r="AE44" s="2" t="str">
        <f t="shared" si="4"/>
        <v>STRS</v>
      </c>
      <c r="AF44" s="2">
        <f>SUM(C44,E44,G44,I44,K44,M44,O44,Q44,S44,U44,W44,Y44,AA44)</f>
        <v>135483</v>
      </c>
    </row>
    <row r="45" spans="1:32" x14ac:dyDescent="0.25">
      <c r="A45" s="131" t="s">
        <v>84</v>
      </c>
      <c r="B45" s="2" t="s">
        <v>77</v>
      </c>
      <c r="C45" s="3">
        <v>2702</v>
      </c>
      <c r="E45" s="2">
        <v>56</v>
      </c>
      <c r="F45" s="36"/>
      <c r="G45" s="2">
        <f>2303+G145</f>
        <v>2581</v>
      </c>
      <c r="H45" s="36"/>
      <c r="I45" s="162">
        <v>3973</v>
      </c>
      <c r="J45" s="36"/>
      <c r="K45" s="2">
        <v>64</v>
      </c>
      <c r="L45" s="36"/>
      <c r="M45" s="2">
        <v>193</v>
      </c>
      <c r="N45" s="36"/>
      <c r="O45" s="2">
        <v>287</v>
      </c>
      <c r="P45" s="36"/>
      <c r="Q45" s="2">
        <v>169</v>
      </c>
      <c r="R45" s="36"/>
      <c r="S45" s="162">
        <v>3530</v>
      </c>
      <c r="T45" s="36"/>
      <c r="U45" s="2">
        <f>47</f>
        <v>47</v>
      </c>
      <c r="V45" s="36"/>
      <c r="W45" s="162">
        <v>3886</v>
      </c>
      <c r="X45" s="36"/>
      <c r="Y45" s="2">
        <v>33</v>
      </c>
      <c r="Z45" s="36"/>
      <c r="AA45" s="2">
        <v>726</v>
      </c>
      <c r="AB45" s="36"/>
      <c r="AC45" s="66"/>
      <c r="AD45" s="131" t="str">
        <f t="shared" si="4"/>
        <v>320X</v>
      </c>
      <c r="AE45" s="2" t="str">
        <f t="shared" si="4"/>
        <v>PERS</v>
      </c>
      <c r="AF45" s="2">
        <f t="shared" ref="AF45:AF50" si="5">SUM(C45,E45,G45,I45,K45,M45,O45,Q45,S45,U45,W45,Y45,AA45)</f>
        <v>18247</v>
      </c>
    </row>
    <row r="46" spans="1:32" x14ac:dyDescent="0.25">
      <c r="A46" s="131" t="s">
        <v>85</v>
      </c>
      <c r="B46" s="2" t="s">
        <v>78</v>
      </c>
      <c r="C46" s="3">
        <f>223+1207</f>
        <v>1430</v>
      </c>
      <c r="E46" s="2">
        <f>30+25</f>
        <v>55</v>
      </c>
      <c r="F46" s="36"/>
      <c r="G46" s="2">
        <f>960+G146</f>
        <v>1084</v>
      </c>
      <c r="H46" s="36"/>
      <c r="I46" s="162">
        <v>1688</v>
      </c>
      <c r="J46" s="36"/>
      <c r="K46" s="2">
        <f>17+38</f>
        <v>55</v>
      </c>
      <c r="L46" s="36"/>
      <c r="M46" s="2">
        <v>86</v>
      </c>
      <c r="N46" s="36"/>
      <c r="O46" s="2">
        <f>9+128</f>
        <v>137</v>
      </c>
      <c r="P46" s="36"/>
      <c r="Q46" s="2">
        <f>17+77</f>
        <v>94</v>
      </c>
      <c r="R46" s="36"/>
      <c r="S46" s="162">
        <f>5+1568</f>
        <v>1573</v>
      </c>
      <c r="T46" s="36"/>
      <c r="U46" s="2">
        <f>4+30</f>
        <v>34</v>
      </c>
      <c r="V46" s="36"/>
      <c r="W46" s="162">
        <f>9+1735</f>
        <v>1744</v>
      </c>
      <c r="X46" s="36"/>
      <c r="Y46" s="2">
        <f>18+14</f>
        <v>32</v>
      </c>
      <c r="Z46" s="36"/>
      <c r="AA46" s="2">
        <f>9+323</f>
        <v>332</v>
      </c>
      <c r="AB46" s="36"/>
      <c r="AC46" s="66"/>
      <c r="AD46" s="131" t="str">
        <f t="shared" si="4"/>
        <v>330X</v>
      </c>
      <c r="AE46" s="2" t="str">
        <f t="shared" si="4"/>
        <v>SS</v>
      </c>
      <c r="AF46" s="2">
        <f t="shared" si="5"/>
        <v>8344</v>
      </c>
    </row>
    <row r="47" spans="1:32" x14ac:dyDescent="0.25">
      <c r="A47" s="131" t="s">
        <v>86</v>
      </c>
      <c r="B47" s="2" t="s">
        <v>79</v>
      </c>
      <c r="C47" s="3">
        <f>12793+282</f>
        <v>13075</v>
      </c>
      <c r="E47" s="2">
        <f>251+6</f>
        <v>257</v>
      </c>
      <c r="F47" s="36"/>
      <c r="G47" s="2">
        <f>263+270</f>
        <v>533</v>
      </c>
      <c r="H47" s="36"/>
      <c r="I47" s="162">
        <f>296+415</f>
        <v>711</v>
      </c>
      <c r="J47" s="36"/>
      <c r="K47" s="2">
        <f>194+8+K140</f>
        <v>318</v>
      </c>
      <c r="L47" s="36"/>
      <c r="M47" s="2">
        <f>188+20</f>
        <v>208</v>
      </c>
      <c r="N47" s="36"/>
      <c r="O47" s="2">
        <f>136+29</f>
        <v>165</v>
      </c>
      <c r="P47" s="36"/>
      <c r="Q47" s="2">
        <f>182+18</f>
        <v>200</v>
      </c>
      <c r="R47" s="36"/>
      <c r="S47" s="162">
        <f>219+363</f>
        <v>582</v>
      </c>
      <c r="T47" s="36"/>
      <c r="U47" s="2">
        <f>342+7</f>
        <v>349</v>
      </c>
      <c r="V47" s="36"/>
      <c r="W47" s="162">
        <f>280+405</f>
        <v>685</v>
      </c>
      <c r="X47" s="36"/>
      <c r="Y47" s="2">
        <v>210</v>
      </c>
      <c r="Z47" s="36"/>
      <c r="AA47" s="2">
        <f>287+76</f>
        <v>363</v>
      </c>
      <c r="AB47" s="36"/>
      <c r="AC47" s="66"/>
      <c r="AD47" s="131" t="str">
        <f t="shared" si="4"/>
        <v>331X</v>
      </c>
      <c r="AE47" s="2" t="str">
        <f t="shared" si="4"/>
        <v>Medicare</v>
      </c>
      <c r="AF47" s="2">
        <f t="shared" si="5"/>
        <v>17656</v>
      </c>
    </row>
    <row r="48" spans="1:32" x14ac:dyDescent="0.25">
      <c r="A48" s="131" t="s">
        <v>87</v>
      </c>
      <c r="B48" s="2" t="s">
        <v>80</v>
      </c>
      <c r="C48" s="3">
        <f>90288+6504</f>
        <v>96792</v>
      </c>
      <c r="E48" s="2">
        <v>0</v>
      </c>
      <c r="F48" s="36"/>
      <c r="G48" s="2">
        <v>593</v>
      </c>
      <c r="H48" s="36"/>
      <c r="I48" s="162">
        <v>310</v>
      </c>
      <c r="J48" s="36"/>
      <c r="K48" s="2">
        <v>0</v>
      </c>
      <c r="L48" s="36"/>
      <c r="M48" s="2">
        <v>0</v>
      </c>
      <c r="N48" s="36"/>
      <c r="O48" s="2">
        <v>0</v>
      </c>
      <c r="P48" s="36"/>
      <c r="Q48" s="2">
        <v>0</v>
      </c>
      <c r="R48" s="36"/>
      <c r="S48" s="162">
        <v>395</v>
      </c>
      <c r="T48" s="36"/>
      <c r="U48" s="2">
        <v>0</v>
      </c>
      <c r="V48" s="36"/>
      <c r="W48" s="162">
        <v>4848</v>
      </c>
      <c r="X48" s="36"/>
      <c r="Y48" s="2">
        <v>0</v>
      </c>
      <c r="Z48" s="36"/>
      <c r="AA48" s="2">
        <v>0</v>
      </c>
      <c r="AB48" s="36"/>
      <c r="AC48" s="66"/>
      <c r="AD48" s="131" t="str">
        <f t="shared" si="4"/>
        <v>340X</v>
      </c>
      <c r="AE48" s="2" t="str">
        <f t="shared" si="4"/>
        <v>H&amp;W</v>
      </c>
      <c r="AF48" s="2">
        <f t="shared" si="5"/>
        <v>102938</v>
      </c>
    </row>
    <row r="49" spans="1:32" x14ac:dyDescent="0.25">
      <c r="A49" s="131" t="s">
        <v>88</v>
      </c>
      <c r="B49" s="2" t="s">
        <v>81</v>
      </c>
      <c r="C49" s="3">
        <f>456+10</f>
        <v>466</v>
      </c>
      <c r="E49" s="2">
        <f>11+1</f>
        <v>12</v>
      </c>
      <c r="F49" s="36"/>
      <c r="G49" s="2">
        <f>4+8+G141+G148</f>
        <v>18</v>
      </c>
      <c r="H49" s="36"/>
      <c r="I49" s="162">
        <f>10+14</f>
        <v>24</v>
      </c>
      <c r="J49" s="36"/>
      <c r="K49" s="2">
        <f>7+1+K141</f>
        <v>12</v>
      </c>
      <c r="L49" s="36"/>
      <c r="M49" s="2">
        <f>8+1</f>
        <v>9</v>
      </c>
      <c r="N49" s="36"/>
      <c r="O49" s="2">
        <f>2+O141</f>
        <v>4</v>
      </c>
      <c r="P49" s="36"/>
      <c r="Q49" s="2">
        <f>4+Q141</f>
        <v>6</v>
      </c>
      <c r="R49" s="36"/>
      <c r="S49" s="162">
        <f>7+13</f>
        <v>20</v>
      </c>
      <c r="T49" s="36"/>
      <c r="U49" s="2">
        <v>13</v>
      </c>
      <c r="V49" s="36"/>
      <c r="W49" s="162">
        <v>24</v>
      </c>
      <c r="X49" s="36"/>
      <c r="Y49" s="2">
        <v>7</v>
      </c>
      <c r="Z49" s="36"/>
      <c r="AA49" s="2">
        <f>10+2</f>
        <v>12</v>
      </c>
      <c r="AB49" s="36"/>
      <c r="AC49" s="66"/>
      <c r="AD49" s="131" t="str">
        <f t="shared" si="4"/>
        <v>350X</v>
      </c>
      <c r="AE49" s="2" t="str">
        <f t="shared" si="4"/>
        <v>SUI</v>
      </c>
      <c r="AF49" s="2">
        <f t="shared" si="5"/>
        <v>627</v>
      </c>
    </row>
    <row r="50" spans="1:32" x14ac:dyDescent="0.25">
      <c r="A50" s="131" t="s">
        <v>89</v>
      </c>
      <c r="B50" s="2" t="s">
        <v>82</v>
      </c>
      <c r="C50" s="3">
        <f>9157+215</f>
        <v>9372</v>
      </c>
      <c r="E50" s="2">
        <f>212+5</f>
        <v>217</v>
      </c>
      <c r="F50" s="36"/>
      <c r="G50" s="2">
        <f>190+203</f>
        <v>393</v>
      </c>
      <c r="H50" s="36"/>
      <c r="I50" s="162">
        <f>224+314</f>
        <v>538</v>
      </c>
      <c r="J50" s="36"/>
      <c r="K50" s="2">
        <f>149+7+K142</f>
        <v>244</v>
      </c>
      <c r="L50" s="36"/>
      <c r="M50" s="2">
        <f>143+15</f>
        <v>158</v>
      </c>
      <c r="N50" s="36"/>
      <c r="O50" s="2">
        <f>60+22+O142</f>
        <v>126</v>
      </c>
      <c r="P50" s="36"/>
      <c r="Q50" s="2">
        <f>135+14</f>
        <v>149</v>
      </c>
      <c r="R50" s="36"/>
      <c r="S50" s="162">
        <f>166+277</f>
        <v>443</v>
      </c>
      <c r="T50" s="36"/>
      <c r="U50" s="2">
        <f>260+5</f>
        <v>265</v>
      </c>
      <c r="V50" s="36"/>
      <c r="W50" s="162">
        <f>223+308</f>
        <v>531</v>
      </c>
      <c r="X50" s="36"/>
      <c r="Y50" s="2">
        <f>158+3</f>
        <v>161</v>
      </c>
      <c r="Z50" s="36"/>
      <c r="AA50" s="2">
        <f>218+58</f>
        <v>276</v>
      </c>
      <c r="AB50" s="36"/>
      <c r="AC50" s="66"/>
      <c r="AD50" s="131" t="str">
        <f t="shared" si="4"/>
        <v>360X</v>
      </c>
      <c r="AE50" s="2" t="str">
        <f t="shared" si="4"/>
        <v>W/C</v>
      </c>
      <c r="AF50" s="2">
        <f t="shared" si="5"/>
        <v>12873</v>
      </c>
    </row>
    <row r="51" spans="1:32" x14ac:dyDescent="0.25">
      <c r="A51" s="131" t="s">
        <v>91</v>
      </c>
      <c r="B51" s="2" t="s">
        <v>93</v>
      </c>
      <c r="C51" s="3">
        <v>5685</v>
      </c>
      <c r="E51" s="2">
        <v>0</v>
      </c>
      <c r="F51" s="36"/>
      <c r="G51" s="2">
        <v>0</v>
      </c>
      <c r="H51" s="36"/>
      <c r="I51" s="162">
        <v>0</v>
      </c>
      <c r="J51" s="36"/>
      <c r="K51" s="2">
        <v>0</v>
      </c>
      <c r="L51" s="36"/>
      <c r="M51" s="2">
        <v>0</v>
      </c>
      <c r="N51" s="36"/>
      <c r="O51" s="2">
        <v>0</v>
      </c>
      <c r="P51" s="36"/>
      <c r="Q51" s="2">
        <v>0</v>
      </c>
      <c r="R51" s="36"/>
      <c r="S51" s="162">
        <v>0</v>
      </c>
      <c r="T51" s="36"/>
      <c r="U51" s="2">
        <v>0</v>
      </c>
      <c r="V51" s="36"/>
      <c r="W51" s="162">
        <v>0</v>
      </c>
      <c r="X51" s="36"/>
      <c r="Y51" s="2">
        <v>0</v>
      </c>
      <c r="Z51" s="36"/>
      <c r="AA51" s="2">
        <v>0</v>
      </c>
      <c r="AB51" s="36"/>
      <c r="AC51" s="66"/>
      <c r="AD51" s="131" t="str">
        <f t="shared" si="4"/>
        <v>390X</v>
      </c>
      <c r="AE51" s="2" t="str">
        <f t="shared" si="4"/>
        <v>Other Benefits</v>
      </c>
      <c r="AF51" s="2">
        <f>SUM(C51,E51,G51,I51,K51,M51,O51,Q51,S51,U51,W51,Y51,AA51)</f>
        <v>5685</v>
      </c>
    </row>
    <row r="52" spans="1:32" x14ac:dyDescent="0.25">
      <c r="A52" s="131"/>
      <c r="F52" s="36"/>
      <c r="H52" s="36"/>
      <c r="J52" s="36"/>
      <c r="L52" s="36"/>
      <c r="N52" s="36"/>
      <c r="P52" s="36"/>
      <c r="R52" s="36"/>
      <c r="T52" s="36"/>
      <c r="V52" s="36"/>
      <c r="X52" s="36"/>
      <c r="Z52" s="36"/>
      <c r="AB52" s="36"/>
      <c r="AC52" s="66"/>
      <c r="AD52" s="131"/>
    </row>
    <row r="53" spans="1:32" x14ac:dyDescent="0.25">
      <c r="A53" s="131"/>
      <c r="C53" s="8">
        <f>SUM(C44:C52)</f>
        <v>240735</v>
      </c>
      <c r="D53" s="33"/>
      <c r="E53" s="8">
        <f>SUM(E44:E52)</f>
        <v>3034</v>
      </c>
      <c r="F53" s="5"/>
      <c r="G53" s="8">
        <f>SUM(G44:G52)</f>
        <v>7492</v>
      </c>
      <c r="H53" s="5"/>
      <c r="I53" s="1200">
        <f>SUM(I44:I52)</f>
        <v>8526</v>
      </c>
      <c r="J53" s="5"/>
      <c r="K53" s="8">
        <f>SUM(K44:K52)</f>
        <v>3393</v>
      </c>
      <c r="L53" s="5"/>
      <c r="M53" s="8">
        <f>SUM(M44:M52)</f>
        <v>2284</v>
      </c>
      <c r="N53" s="5"/>
      <c r="O53" s="8">
        <f>SUM(O44:O52)</f>
        <v>1909</v>
      </c>
      <c r="P53" s="5"/>
      <c r="Q53" s="8">
        <f>SUM(Q44:Q52)</f>
        <v>2191</v>
      </c>
      <c r="R53" s="5"/>
      <c r="S53" s="1200">
        <f>SUM(S44:S52)</f>
        <v>8028</v>
      </c>
      <c r="T53" s="5"/>
      <c r="U53" s="8">
        <f>SUM(U44:U52)</f>
        <v>3702</v>
      </c>
      <c r="V53" s="5"/>
      <c r="W53" s="1200">
        <f>SUM(W44:W52)</f>
        <v>14143</v>
      </c>
      <c r="X53" s="5"/>
      <c r="Y53" s="8">
        <f>SUM(Y44:Y52)</f>
        <v>2217</v>
      </c>
      <c r="Z53" s="5"/>
      <c r="AA53" s="8">
        <f>SUM(AA44:AA52)</f>
        <v>4199</v>
      </c>
      <c r="AB53" s="5"/>
      <c r="AC53" s="29"/>
      <c r="AD53" s="131"/>
      <c r="AF53" s="8">
        <f>SUM(AF44:AF52)</f>
        <v>301853</v>
      </c>
    </row>
    <row r="54" spans="1:32" x14ac:dyDescent="0.25">
      <c r="A54" s="131"/>
      <c r="C54" s="9"/>
      <c r="D54" s="33"/>
      <c r="E54" s="10"/>
      <c r="F54" s="6"/>
      <c r="G54" s="10"/>
      <c r="H54" s="6"/>
      <c r="I54" s="907"/>
      <c r="J54" s="6"/>
      <c r="K54" s="10"/>
      <c r="L54" s="6"/>
      <c r="M54" s="10"/>
      <c r="N54" s="6"/>
      <c r="O54" s="10"/>
      <c r="P54" s="6"/>
      <c r="Q54" s="10"/>
      <c r="R54" s="6"/>
      <c r="S54" s="907"/>
      <c r="T54" s="6"/>
      <c r="U54" s="10"/>
      <c r="V54" s="6"/>
      <c r="W54" s="907"/>
      <c r="X54" s="6"/>
      <c r="Y54" s="10"/>
      <c r="Z54" s="6"/>
      <c r="AA54" s="10"/>
      <c r="AB54" s="6"/>
      <c r="AC54" s="57"/>
      <c r="AD54" s="131"/>
    </row>
    <row r="55" spans="1:32" x14ac:dyDescent="0.25">
      <c r="A55" s="127" t="s">
        <v>26</v>
      </c>
      <c r="C55" s="8">
        <f>SUM(C53,C41,C30)</f>
        <v>1158951</v>
      </c>
      <c r="D55" s="33"/>
      <c r="E55" s="8">
        <f>SUM(E53,E41,E30)</f>
        <v>8244</v>
      </c>
      <c r="F55" s="5"/>
      <c r="G55" s="8">
        <f>SUM(G53,G41,G30)</f>
        <v>31214</v>
      </c>
      <c r="H55" s="5"/>
      <c r="I55" s="1200">
        <f>SUM(I53,I41,I30)</f>
        <v>57467</v>
      </c>
      <c r="J55" s="5"/>
      <c r="K55" s="8">
        <f>SUM(K53,K41,K30)</f>
        <v>25230</v>
      </c>
      <c r="L55" s="5"/>
      <c r="M55" s="8">
        <f>SUM(M53,M41,M30)</f>
        <v>16632</v>
      </c>
      <c r="N55" s="5"/>
      <c r="O55" s="8">
        <f>SUM(O53,O41,O30)</f>
        <v>13409</v>
      </c>
      <c r="P55" s="5"/>
      <c r="Q55" s="8">
        <f>SUM(Q53,Q41,Q30)</f>
        <v>15922</v>
      </c>
      <c r="R55" s="5"/>
      <c r="S55" s="1200">
        <f>SUM(S53,S41,S30)</f>
        <v>48349</v>
      </c>
      <c r="T55" s="5"/>
      <c r="U55" s="8">
        <f>SUM(U53,U41,U30)</f>
        <v>15093</v>
      </c>
      <c r="V55" s="5"/>
      <c r="W55" s="1200">
        <f>SUM(W53,W41,W30)</f>
        <v>50701</v>
      </c>
      <c r="X55" s="5"/>
      <c r="Y55" s="8">
        <f>SUM(Y53,Y41,Y30)</f>
        <v>16554</v>
      </c>
      <c r="Z55" s="5"/>
      <c r="AA55" s="8">
        <f>SUM(AA53,AA41,AA30)</f>
        <v>29222</v>
      </c>
      <c r="AB55" s="5"/>
      <c r="AC55" s="29"/>
      <c r="AD55" s="127" t="str">
        <f>A55</f>
        <v>Total Salaries and Benefits</v>
      </c>
      <c r="AF55" s="8">
        <f>SUM(AF53,AF41,AF30)</f>
        <v>1486988</v>
      </c>
    </row>
    <row r="56" spans="1:32" x14ac:dyDescent="0.25">
      <c r="F56" s="36"/>
      <c r="H56" s="36"/>
      <c r="J56" s="36"/>
      <c r="L56" s="36"/>
      <c r="N56" s="36"/>
      <c r="P56" s="36"/>
      <c r="R56" s="36"/>
      <c r="T56" s="36"/>
      <c r="V56" s="36"/>
      <c r="X56" s="36"/>
      <c r="Z56" s="36"/>
      <c r="AB56" s="36"/>
      <c r="AC56" s="66"/>
    </row>
    <row r="57" spans="1:32" x14ac:dyDescent="0.25">
      <c r="F57" s="36"/>
      <c r="H57" s="36"/>
      <c r="J57" s="36"/>
      <c r="L57" s="36"/>
      <c r="N57" s="36"/>
      <c r="P57" s="36"/>
      <c r="R57" s="36"/>
      <c r="T57" s="36"/>
      <c r="V57" s="36"/>
      <c r="X57" s="36"/>
      <c r="Z57" s="36"/>
      <c r="AB57" s="36"/>
      <c r="AC57" s="66"/>
    </row>
    <row r="58" spans="1:32" x14ac:dyDescent="0.25">
      <c r="A58" s="33" t="s">
        <v>25</v>
      </c>
      <c r="B58" s="6"/>
      <c r="F58" s="36"/>
      <c r="H58" s="36"/>
      <c r="J58" s="36"/>
      <c r="L58" s="36"/>
      <c r="N58" s="36"/>
      <c r="P58" s="36"/>
      <c r="R58" s="36"/>
      <c r="T58" s="36"/>
      <c r="V58" s="36"/>
      <c r="X58" s="36"/>
      <c r="Z58" s="36"/>
      <c r="AB58" s="36"/>
      <c r="AC58" s="66"/>
      <c r="AD58" s="33" t="str">
        <f t="shared" ref="AD58:AE65" si="6">A58</f>
        <v>Supplies</v>
      </c>
      <c r="AE58" s="6"/>
    </row>
    <row r="59" spans="1:32" x14ac:dyDescent="0.25">
      <c r="A59" s="131" t="s">
        <v>24</v>
      </c>
      <c r="B59" s="2" t="s">
        <v>23</v>
      </c>
      <c r="C59" s="3">
        <v>4700</v>
      </c>
      <c r="E59" s="2">
        <v>0</v>
      </c>
      <c r="F59" s="36"/>
      <c r="G59" s="2">
        <v>0</v>
      </c>
      <c r="H59" s="36"/>
      <c r="I59" s="162">
        <v>750</v>
      </c>
      <c r="J59" s="36"/>
      <c r="K59" s="2">
        <v>75</v>
      </c>
      <c r="L59" s="36"/>
      <c r="M59" s="2">
        <v>563</v>
      </c>
      <c r="N59" s="36"/>
      <c r="O59" s="2">
        <v>0</v>
      </c>
      <c r="P59" s="36"/>
      <c r="Q59" s="2">
        <v>999</v>
      </c>
      <c r="R59" s="36"/>
      <c r="S59" s="162">
        <v>0</v>
      </c>
      <c r="T59" s="36"/>
      <c r="U59" s="2">
        <v>691</v>
      </c>
      <c r="V59" s="36"/>
      <c r="W59" s="162">
        <v>335</v>
      </c>
      <c r="X59" s="36"/>
      <c r="Y59" s="2">
        <v>0</v>
      </c>
      <c r="Z59" s="36"/>
      <c r="AA59" s="2">
        <v>800</v>
      </c>
      <c r="AB59" s="36"/>
      <c r="AC59" s="66"/>
      <c r="AD59" s="131" t="str">
        <f t="shared" si="6"/>
        <v>4210</v>
      </c>
      <c r="AE59" s="2" t="str">
        <f t="shared" si="6"/>
        <v>Other Books</v>
      </c>
      <c r="AF59" s="2">
        <f>SUM(C59,E59,G59,I59,K59,M59,O59,Q59,S59,U59,W59,Y59,AA59)</f>
        <v>8913</v>
      </c>
    </row>
    <row r="60" spans="1:32" x14ac:dyDescent="0.25">
      <c r="A60" s="131" t="s">
        <v>94</v>
      </c>
      <c r="B60" s="2" t="s">
        <v>96</v>
      </c>
      <c r="C60" s="3">
        <v>0</v>
      </c>
      <c r="E60" s="2">
        <v>0</v>
      </c>
      <c r="F60" s="36"/>
      <c r="G60" s="2">
        <v>160</v>
      </c>
      <c r="H60" s="36"/>
      <c r="I60" s="162">
        <v>0</v>
      </c>
      <c r="J60" s="36"/>
      <c r="K60" s="2">
        <v>0</v>
      </c>
      <c r="L60" s="36"/>
      <c r="M60" s="2">
        <v>31580</v>
      </c>
      <c r="N60" s="36"/>
      <c r="O60" s="2">
        <v>0</v>
      </c>
      <c r="P60" s="36"/>
      <c r="Q60" s="2">
        <v>0</v>
      </c>
      <c r="R60" s="36"/>
      <c r="S60" s="162">
        <v>0</v>
      </c>
      <c r="T60" s="36"/>
      <c r="U60" s="2">
        <v>0</v>
      </c>
      <c r="V60" s="36"/>
      <c r="W60" s="162">
        <v>0</v>
      </c>
      <c r="X60" s="36"/>
      <c r="Y60" s="2">
        <v>0</v>
      </c>
      <c r="Z60" s="36"/>
      <c r="AA60" s="2">
        <v>0</v>
      </c>
      <c r="AB60" s="36"/>
      <c r="AC60" s="66"/>
      <c r="AD60" s="131" t="str">
        <f t="shared" si="6"/>
        <v>4211</v>
      </c>
      <c r="AE60" s="2" t="str">
        <f t="shared" si="6"/>
        <v>Reference Books</v>
      </c>
      <c r="AF60" s="2">
        <f t="shared" ref="AF60:AF65" si="7">SUM(C60,E60,G60,I60,K60,M60,O60,Q60,S60,U60,W60,Y60,AA60)</f>
        <v>31740</v>
      </c>
    </row>
    <row r="61" spans="1:32" x14ac:dyDescent="0.25">
      <c r="A61" s="131" t="s">
        <v>95</v>
      </c>
      <c r="B61" s="2" t="s">
        <v>97</v>
      </c>
      <c r="C61" s="3">
        <v>0</v>
      </c>
      <c r="E61" s="2">
        <v>0</v>
      </c>
      <c r="F61" s="36"/>
      <c r="G61" s="2">
        <v>0</v>
      </c>
      <c r="H61" s="36"/>
      <c r="I61" s="162">
        <v>0</v>
      </c>
      <c r="J61" s="36"/>
      <c r="K61" s="2">
        <v>2747</v>
      </c>
      <c r="L61" s="36"/>
      <c r="M61" s="2">
        <v>0</v>
      </c>
      <c r="N61" s="36"/>
      <c r="O61" s="2">
        <v>0</v>
      </c>
      <c r="P61" s="36"/>
      <c r="Q61" s="2">
        <v>0</v>
      </c>
      <c r="R61" s="36"/>
      <c r="S61" s="162">
        <v>0</v>
      </c>
      <c r="T61" s="36"/>
      <c r="U61" s="2">
        <v>0</v>
      </c>
      <c r="V61" s="36"/>
      <c r="W61" s="162">
        <v>0</v>
      </c>
      <c r="X61" s="36"/>
      <c r="Y61" s="2">
        <v>0</v>
      </c>
      <c r="Z61" s="36"/>
      <c r="AA61" s="2">
        <v>0</v>
      </c>
      <c r="AB61" s="36"/>
      <c r="AC61" s="66"/>
      <c r="AD61" s="131" t="str">
        <f t="shared" si="6"/>
        <v>4212</v>
      </c>
      <c r="AE61" s="2" t="str">
        <f t="shared" si="6"/>
        <v>Library Books</v>
      </c>
      <c r="AF61" s="2">
        <f t="shared" si="7"/>
        <v>2747</v>
      </c>
    </row>
    <row r="62" spans="1:32" x14ac:dyDescent="0.25">
      <c r="A62" s="131" t="s">
        <v>22</v>
      </c>
      <c r="B62" s="2" t="s">
        <v>21</v>
      </c>
      <c r="C62" s="3">
        <v>10944</v>
      </c>
      <c r="E62" s="2">
        <v>27172.23</v>
      </c>
      <c r="F62" s="36"/>
      <c r="G62" s="2">
        <f>28979+G135+G151</f>
        <v>50019</v>
      </c>
      <c r="H62" s="36"/>
      <c r="I62" s="162">
        <v>51238</v>
      </c>
      <c r="J62" s="36"/>
      <c r="K62" s="2">
        <f>23641+K135</f>
        <v>48641</v>
      </c>
      <c r="L62" s="36"/>
      <c r="M62" s="2">
        <v>0</v>
      </c>
      <c r="N62" s="36"/>
      <c r="O62" s="2">
        <v>94881</v>
      </c>
      <c r="P62" s="36"/>
      <c r="Q62" s="2">
        <f>34526+Q135+Q138+Q151</f>
        <v>66426</v>
      </c>
      <c r="R62" s="36"/>
      <c r="S62" s="162">
        <v>32648</v>
      </c>
      <c r="T62" s="36"/>
      <c r="U62" s="2">
        <v>38127</v>
      </c>
      <c r="V62" s="36"/>
      <c r="W62" s="162">
        <v>31924</v>
      </c>
      <c r="X62" s="36"/>
      <c r="Y62" s="2">
        <v>25349</v>
      </c>
      <c r="Z62" s="36"/>
      <c r="AA62" s="2">
        <v>22677</v>
      </c>
      <c r="AB62" s="36"/>
      <c r="AC62" s="66"/>
      <c r="AD62" s="131" t="str">
        <f t="shared" si="6"/>
        <v>4310</v>
      </c>
      <c r="AE62" s="2" t="str">
        <f t="shared" si="6"/>
        <v>Inst. Materials</v>
      </c>
      <c r="AF62" s="2">
        <f t="shared" si="7"/>
        <v>500046.23</v>
      </c>
    </row>
    <row r="63" spans="1:32" x14ac:dyDescent="0.25">
      <c r="A63" s="131" t="s">
        <v>20</v>
      </c>
      <c r="B63" s="2" t="s">
        <v>19</v>
      </c>
      <c r="C63" s="3">
        <v>9400</v>
      </c>
      <c r="E63" s="2">
        <v>0</v>
      </c>
      <c r="F63" s="36"/>
      <c r="G63" s="2">
        <v>255</v>
      </c>
      <c r="H63" s="36"/>
      <c r="I63" s="162">
        <v>653</v>
      </c>
      <c r="J63" s="36"/>
      <c r="K63" s="2">
        <v>0</v>
      </c>
      <c r="L63" s="36"/>
      <c r="M63" s="2">
        <v>100</v>
      </c>
      <c r="N63" s="36"/>
      <c r="O63" s="2">
        <v>0</v>
      </c>
      <c r="P63" s="36"/>
      <c r="Q63" s="2">
        <v>1250</v>
      </c>
      <c r="R63" s="36"/>
      <c r="S63" s="162">
        <v>7996</v>
      </c>
      <c r="T63" s="36"/>
      <c r="U63" s="2">
        <v>245</v>
      </c>
      <c r="V63" s="36"/>
      <c r="W63" s="162">
        <v>2000</v>
      </c>
      <c r="X63" s="36"/>
      <c r="Y63" s="2">
        <v>3642</v>
      </c>
      <c r="Z63" s="36"/>
      <c r="AA63" s="2">
        <v>350</v>
      </c>
      <c r="AB63" s="36"/>
      <c r="AC63" s="66"/>
      <c r="AD63" s="131" t="str">
        <f t="shared" si="6"/>
        <v xml:space="preserve">4353 </v>
      </c>
      <c r="AE63" s="2" t="str">
        <f t="shared" si="6"/>
        <v>Non-Inst. Materials</v>
      </c>
      <c r="AF63" s="2">
        <f t="shared" si="7"/>
        <v>25891</v>
      </c>
    </row>
    <row r="64" spans="1:32" x14ac:dyDescent="0.25">
      <c r="A64" s="131" t="s">
        <v>18</v>
      </c>
      <c r="B64" s="2" t="s">
        <v>17</v>
      </c>
      <c r="C64" s="3">
        <v>785</v>
      </c>
      <c r="E64" s="2">
        <v>4707.72</v>
      </c>
      <c r="F64" s="36"/>
      <c r="G64" s="2">
        <f>7216+G136</f>
        <v>10716</v>
      </c>
      <c r="H64" s="36"/>
      <c r="I64" s="162">
        <v>14879</v>
      </c>
      <c r="J64" s="36"/>
      <c r="K64" s="2">
        <f>+K136</f>
        <v>4794</v>
      </c>
      <c r="L64" s="36"/>
      <c r="M64" s="2">
        <v>6198</v>
      </c>
      <c r="N64" s="36"/>
      <c r="O64" s="2">
        <f>+O136</f>
        <v>4397</v>
      </c>
      <c r="P64" s="36"/>
      <c r="Q64" s="2">
        <f>1573+Q136</f>
        <v>4720</v>
      </c>
      <c r="R64" s="36"/>
      <c r="S64" s="162">
        <v>2737</v>
      </c>
      <c r="T64" s="36"/>
      <c r="U64" s="2">
        <v>4989</v>
      </c>
      <c r="V64" s="36"/>
      <c r="W64" s="162">
        <v>3000</v>
      </c>
      <c r="X64" s="36"/>
      <c r="Y64" s="2">
        <v>0</v>
      </c>
      <c r="Z64" s="36"/>
      <c r="AA64" s="2">
        <v>0</v>
      </c>
      <c r="AB64" s="36"/>
      <c r="AC64" s="66"/>
      <c r="AD64" s="131" t="str">
        <f t="shared" si="6"/>
        <v>4400</v>
      </c>
      <c r="AE64" s="2" t="str">
        <f t="shared" si="6"/>
        <v>Non-cap. Equipment</v>
      </c>
      <c r="AF64" s="2">
        <f t="shared" si="7"/>
        <v>61922.720000000001</v>
      </c>
    </row>
    <row r="65" spans="1:32" x14ac:dyDescent="0.25">
      <c r="A65" s="131"/>
      <c r="B65" s="126"/>
      <c r="C65" s="3">
        <v>0</v>
      </c>
      <c r="E65" s="2">
        <v>0</v>
      </c>
      <c r="F65" s="36"/>
      <c r="G65" s="2">
        <v>0</v>
      </c>
      <c r="H65" s="36"/>
      <c r="I65" s="162">
        <v>0</v>
      </c>
      <c r="J65" s="36"/>
      <c r="K65" s="2">
        <v>0</v>
      </c>
      <c r="L65" s="36"/>
      <c r="M65" s="2">
        <v>0</v>
      </c>
      <c r="N65" s="36"/>
      <c r="O65" s="2">
        <v>0</v>
      </c>
      <c r="P65" s="36"/>
      <c r="Q65" s="2">
        <v>0</v>
      </c>
      <c r="R65" s="36"/>
      <c r="S65" s="162">
        <v>0</v>
      </c>
      <c r="T65" s="36"/>
      <c r="U65" s="2">
        <v>0</v>
      </c>
      <c r="V65" s="36"/>
      <c r="W65" s="162">
        <v>0</v>
      </c>
      <c r="X65" s="36"/>
      <c r="Y65" s="2">
        <v>0</v>
      </c>
      <c r="Z65" s="36"/>
      <c r="AA65" s="2">
        <v>0</v>
      </c>
      <c r="AB65" s="36"/>
      <c r="AC65" s="66"/>
      <c r="AD65" s="131">
        <f t="shared" si="6"/>
        <v>0</v>
      </c>
      <c r="AE65" s="126">
        <f t="shared" si="6"/>
        <v>0</v>
      </c>
      <c r="AF65" s="2">
        <f t="shared" si="7"/>
        <v>0</v>
      </c>
    </row>
    <row r="66" spans="1:32" x14ac:dyDescent="0.25">
      <c r="A66" s="2"/>
      <c r="C66" s="8">
        <f>SUM(C59:C65)</f>
        <v>25829</v>
      </c>
      <c r="D66" s="33"/>
      <c r="E66" s="8">
        <f>SUM(E59:E65)</f>
        <v>31879.95</v>
      </c>
      <c r="F66" s="5"/>
      <c r="G66" s="8">
        <f>SUM(G59:G65)</f>
        <v>61150</v>
      </c>
      <c r="H66" s="5"/>
      <c r="I66" s="1200">
        <f>SUM(I59:I65)</f>
        <v>67520</v>
      </c>
      <c r="J66" s="5"/>
      <c r="K66" s="8">
        <f>SUM(K59:K65)</f>
        <v>56257</v>
      </c>
      <c r="L66" s="5"/>
      <c r="M66" s="8">
        <f>SUM(M59:M65)</f>
        <v>38441</v>
      </c>
      <c r="N66" s="5"/>
      <c r="O66" s="8">
        <f>SUM(O59:O65)</f>
        <v>99278</v>
      </c>
      <c r="P66" s="5"/>
      <c r="Q66" s="8">
        <f>SUM(Q59:Q65)</f>
        <v>73395</v>
      </c>
      <c r="R66" s="5"/>
      <c r="S66" s="1200">
        <f>SUM(S59:S65)</f>
        <v>43381</v>
      </c>
      <c r="T66" s="5"/>
      <c r="U66" s="8">
        <f>SUM(U59:U65)</f>
        <v>44052</v>
      </c>
      <c r="V66" s="5"/>
      <c r="W66" s="1200">
        <f>SUM(W59:W65)</f>
        <v>37259</v>
      </c>
      <c r="X66" s="5"/>
      <c r="Y66" s="8">
        <f>SUM(Y59:Y65)</f>
        <v>28991</v>
      </c>
      <c r="Z66" s="5"/>
      <c r="AA66" s="8">
        <f>SUM(AA59:AA65)</f>
        <v>23827</v>
      </c>
      <c r="AB66" s="5"/>
      <c r="AC66" s="29"/>
      <c r="AD66" s="2"/>
      <c r="AF66" s="8">
        <f>SUM(AF59:AF65)</f>
        <v>631259.94999999995</v>
      </c>
    </row>
    <row r="67" spans="1:32" x14ac:dyDescent="0.25">
      <c r="F67" s="36"/>
      <c r="H67" s="36"/>
      <c r="J67" s="36"/>
      <c r="L67" s="36"/>
      <c r="N67" s="36"/>
      <c r="P67" s="36"/>
      <c r="R67" s="36"/>
      <c r="T67" s="36"/>
      <c r="V67" s="36"/>
      <c r="X67" s="36"/>
      <c r="Z67" s="36"/>
      <c r="AB67" s="36"/>
      <c r="AC67" s="66"/>
    </row>
    <row r="68" spans="1:32" s="6" customFormat="1" x14ac:dyDescent="0.25">
      <c r="A68" s="127" t="s">
        <v>16</v>
      </c>
      <c r="D68" s="33"/>
      <c r="I68" s="1201"/>
      <c r="S68" s="1201"/>
      <c r="W68" s="1201"/>
      <c r="AC68" s="57"/>
      <c r="AD68" s="127" t="str">
        <f t="shared" ref="AD68:AE82" si="8">A68</f>
        <v>Services, Other Oprtng Exp.</v>
      </c>
    </row>
    <row r="69" spans="1:32" x14ac:dyDescent="0.25">
      <c r="A69" s="131" t="s">
        <v>15</v>
      </c>
      <c r="B69" s="2" t="s">
        <v>14</v>
      </c>
      <c r="C69" s="3">
        <v>290288</v>
      </c>
      <c r="E69" s="2">
        <v>775.44</v>
      </c>
      <c r="F69" s="36"/>
      <c r="G69" s="2">
        <v>0</v>
      </c>
      <c r="H69" s="36"/>
      <c r="I69" s="162">
        <v>12000</v>
      </c>
      <c r="J69" s="36"/>
      <c r="K69" s="2">
        <v>9000</v>
      </c>
      <c r="L69" s="36"/>
      <c r="M69" s="2">
        <v>7500</v>
      </c>
      <c r="N69" s="36"/>
      <c r="O69" s="2">
        <v>1971</v>
      </c>
      <c r="P69" s="36"/>
      <c r="Q69" s="2">
        <v>6631</v>
      </c>
      <c r="R69" s="36"/>
      <c r="S69" s="162">
        <v>4000</v>
      </c>
      <c r="T69" s="36"/>
      <c r="U69" s="2">
        <v>3526</v>
      </c>
      <c r="V69" s="36"/>
      <c r="W69" s="162">
        <v>6500</v>
      </c>
      <c r="X69" s="36"/>
      <c r="Y69" s="2">
        <v>800</v>
      </c>
      <c r="Z69" s="36"/>
      <c r="AA69" s="2">
        <v>7000</v>
      </c>
      <c r="AB69" s="36"/>
      <c r="AC69" s="66"/>
      <c r="AD69" s="131" t="str">
        <f t="shared" si="8"/>
        <v>5213</v>
      </c>
      <c r="AE69" s="2" t="str">
        <f t="shared" si="8"/>
        <v>Conf. &amp; Travel</v>
      </c>
      <c r="AF69" s="2">
        <f>SUM(C69,E69,G69,I69,K69,M69,O69,Q69,S69,U69,W69,Y69,AA69)</f>
        <v>349991.44</v>
      </c>
    </row>
    <row r="70" spans="1:32" x14ac:dyDescent="0.25">
      <c r="A70" s="131" t="s">
        <v>13</v>
      </c>
      <c r="B70" s="2" t="s">
        <v>12</v>
      </c>
      <c r="C70" s="3">
        <v>800</v>
      </c>
      <c r="E70" s="2">
        <v>0</v>
      </c>
      <c r="F70" s="36"/>
      <c r="G70" s="2">
        <v>0</v>
      </c>
      <c r="H70" s="36"/>
      <c r="I70" s="162">
        <v>0</v>
      </c>
      <c r="J70" s="36"/>
      <c r="K70" s="2">
        <v>0</v>
      </c>
      <c r="L70" s="36"/>
      <c r="M70" s="2">
        <v>0</v>
      </c>
      <c r="N70" s="36"/>
      <c r="O70" s="2">
        <v>0</v>
      </c>
      <c r="P70" s="36"/>
      <c r="Q70" s="2">
        <v>0</v>
      </c>
      <c r="R70" s="36"/>
      <c r="S70" s="162">
        <v>0</v>
      </c>
      <c r="T70" s="36"/>
      <c r="U70" s="2">
        <v>0</v>
      </c>
      <c r="V70" s="36"/>
      <c r="W70" s="162">
        <v>0</v>
      </c>
      <c r="X70" s="36"/>
      <c r="Y70" s="2">
        <v>0</v>
      </c>
      <c r="Z70" s="36"/>
      <c r="AA70" s="2">
        <v>0</v>
      </c>
      <c r="AB70" s="36"/>
      <c r="AC70" s="66"/>
      <c r="AD70" s="131" t="str">
        <f t="shared" si="8"/>
        <v>5310</v>
      </c>
      <c r="AE70" s="2" t="str">
        <f t="shared" si="8"/>
        <v>Membership/Dues</v>
      </c>
      <c r="AF70" s="2">
        <f t="shared" ref="AF70:AF81" si="9">SUM(C70,E70,G70,I70,K70,M70,O70,Q70,S70,U70,W70,Y70,AA70)</f>
        <v>800</v>
      </c>
    </row>
    <row r="71" spans="1:32" x14ac:dyDescent="0.25">
      <c r="A71" s="131" t="s">
        <v>128</v>
      </c>
      <c r="B71" s="2" t="s">
        <v>129</v>
      </c>
      <c r="C71" s="3">
        <v>0</v>
      </c>
      <c r="E71" s="2">
        <v>0</v>
      </c>
      <c r="F71" s="36"/>
      <c r="G71" s="2">
        <v>0</v>
      </c>
      <c r="H71" s="36"/>
      <c r="I71" s="162">
        <v>0</v>
      </c>
      <c r="J71" s="36"/>
      <c r="K71" s="2">
        <v>0</v>
      </c>
      <c r="L71" s="36"/>
      <c r="M71" s="2">
        <v>0</v>
      </c>
      <c r="N71" s="36"/>
      <c r="O71" s="2">
        <v>0</v>
      </c>
      <c r="P71" s="36"/>
      <c r="Q71" s="2">
        <v>0</v>
      </c>
      <c r="R71" s="36"/>
      <c r="S71" s="162">
        <v>0</v>
      </c>
      <c r="T71" s="36"/>
      <c r="U71" s="2">
        <v>0</v>
      </c>
      <c r="V71" s="36"/>
      <c r="W71" s="162">
        <v>1500</v>
      </c>
      <c r="X71" s="36"/>
      <c r="Z71" s="36"/>
      <c r="AB71" s="36"/>
      <c r="AC71" s="66"/>
      <c r="AD71" s="131" t="str">
        <f t="shared" si="8"/>
        <v>5607</v>
      </c>
      <c r="AE71" s="2" t="str">
        <f t="shared" si="8"/>
        <v>Repairs-Other</v>
      </c>
      <c r="AF71" s="2">
        <f t="shared" si="9"/>
        <v>1500</v>
      </c>
    </row>
    <row r="72" spans="1:32" x14ac:dyDescent="0.25">
      <c r="A72" s="131" t="s">
        <v>11</v>
      </c>
      <c r="B72" s="2" t="s">
        <v>10</v>
      </c>
      <c r="C72" s="3">
        <v>3199</v>
      </c>
      <c r="E72" s="2">
        <v>0</v>
      </c>
      <c r="F72" s="36"/>
      <c r="G72" s="2">
        <f>+G152</f>
        <v>500</v>
      </c>
      <c r="H72" s="36"/>
      <c r="I72" s="162">
        <v>0</v>
      </c>
      <c r="J72" s="36"/>
      <c r="K72" s="2">
        <v>0</v>
      </c>
      <c r="L72" s="36"/>
      <c r="M72" s="2">
        <v>0</v>
      </c>
      <c r="N72" s="36"/>
      <c r="O72" s="2">
        <v>0</v>
      </c>
      <c r="P72" s="36"/>
      <c r="Q72" s="2">
        <v>1500</v>
      </c>
      <c r="R72" s="36"/>
      <c r="S72" s="162">
        <v>0</v>
      </c>
      <c r="T72" s="36"/>
      <c r="U72" s="2">
        <v>0</v>
      </c>
      <c r="V72" s="36"/>
      <c r="W72" s="162">
        <v>0</v>
      </c>
      <c r="X72" s="36"/>
      <c r="Y72" s="2">
        <v>0</v>
      </c>
      <c r="Z72" s="36"/>
      <c r="AA72" s="2">
        <v>0</v>
      </c>
      <c r="AB72" s="36"/>
      <c r="AC72" s="66"/>
      <c r="AD72" s="131" t="str">
        <f t="shared" si="8"/>
        <v>5725</v>
      </c>
      <c r="AE72" s="2" t="str">
        <f t="shared" si="8"/>
        <v>Field Trip Transp.</v>
      </c>
      <c r="AF72" s="2">
        <f t="shared" si="9"/>
        <v>5199</v>
      </c>
    </row>
    <row r="73" spans="1:32" x14ac:dyDescent="0.25">
      <c r="A73" s="131" t="s">
        <v>120</v>
      </c>
      <c r="B73" s="2" t="s">
        <v>121</v>
      </c>
      <c r="C73" s="3">
        <v>0</v>
      </c>
      <c r="E73" s="2">
        <v>0</v>
      </c>
      <c r="F73" s="36"/>
      <c r="G73" s="2">
        <v>0</v>
      </c>
      <c r="H73" s="36"/>
      <c r="I73" s="162">
        <v>0</v>
      </c>
      <c r="J73" s="36"/>
      <c r="K73" s="2">
        <v>0</v>
      </c>
      <c r="L73" s="36"/>
      <c r="M73" s="2">
        <v>0</v>
      </c>
      <c r="N73" s="36"/>
      <c r="O73" s="2">
        <v>0</v>
      </c>
      <c r="P73" s="36"/>
      <c r="Q73" s="2">
        <v>750</v>
      </c>
      <c r="R73" s="36"/>
      <c r="S73" s="162">
        <v>4000</v>
      </c>
      <c r="T73" s="36"/>
      <c r="U73" s="2">
        <v>0</v>
      </c>
      <c r="V73" s="36"/>
      <c r="X73" s="36"/>
      <c r="Z73" s="36"/>
      <c r="AB73" s="36"/>
      <c r="AC73" s="66"/>
      <c r="AD73" s="131" t="str">
        <f t="shared" si="8"/>
        <v>5752</v>
      </c>
      <c r="AE73" s="2" t="str">
        <f t="shared" si="8"/>
        <v>Direct Srvc-Food Srvc.</v>
      </c>
      <c r="AF73" s="2">
        <f t="shared" si="9"/>
        <v>4750</v>
      </c>
    </row>
    <row r="74" spans="1:32" x14ac:dyDescent="0.25">
      <c r="A74" s="131" t="s">
        <v>126</v>
      </c>
      <c r="B74" s="2" t="s">
        <v>127</v>
      </c>
      <c r="C74" s="3">
        <v>0</v>
      </c>
      <c r="E74" s="2">
        <v>0</v>
      </c>
      <c r="F74" s="36"/>
      <c r="G74" s="2">
        <v>0</v>
      </c>
      <c r="H74" s="36"/>
      <c r="I74" s="162">
        <v>0</v>
      </c>
      <c r="J74" s="36"/>
      <c r="K74" s="2">
        <v>0</v>
      </c>
      <c r="L74" s="36"/>
      <c r="M74" s="2">
        <v>0</v>
      </c>
      <c r="N74" s="36"/>
      <c r="O74" s="2">
        <v>0</v>
      </c>
      <c r="P74" s="36"/>
      <c r="Q74" s="2">
        <v>0</v>
      </c>
      <c r="R74" s="36"/>
      <c r="S74" s="162">
        <v>0</v>
      </c>
      <c r="T74" s="36"/>
      <c r="U74" s="2">
        <v>640</v>
      </c>
      <c r="V74" s="36"/>
      <c r="X74" s="36"/>
      <c r="Z74" s="36"/>
      <c r="AB74" s="36"/>
      <c r="AC74" s="66"/>
      <c r="AD74" s="131" t="str">
        <f t="shared" si="8"/>
        <v>5806</v>
      </c>
      <c r="AE74" s="2" t="str">
        <f t="shared" si="8"/>
        <v>Outside Interpreter</v>
      </c>
      <c r="AF74" s="2">
        <f t="shared" si="9"/>
        <v>640</v>
      </c>
    </row>
    <row r="75" spans="1:32" x14ac:dyDescent="0.25">
      <c r="A75" s="131" t="s">
        <v>9</v>
      </c>
      <c r="B75" s="2" t="s">
        <v>8</v>
      </c>
      <c r="C75" s="3">
        <v>27678.37</v>
      </c>
      <c r="E75" s="2">
        <v>0</v>
      </c>
      <c r="F75" s="36"/>
      <c r="G75" s="2">
        <v>0</v>
      </c>
      <c r="H75" s="36"/>
      <c r="I75" s="162">
        <v>0</v>
      </c>
      <c r="J75" s="36"/>
      <c r="K75" s="2">
        <v>4950</v>
      </c>
      <c r="L75" s="36"/>
      <c r="M75" s="2">
        <v>0</v>
      </c>
      <c r="N75" s="36"/>
      <c r="O75" s="2">
        <v>0</v>
      </c>
      <c r="P75" s="36"/>
      <c r="Q75" s="2">
        <v>0</v>
      </c>
      <c r="R75" s="36"/>
      <c r="S75" s="162">
        <v>0</v>
      </c>
      <c r="T75" s="36"/>
      <c r="U75" s="2">
        <v>0</v>
      </c>
      <c r="V75" s="36"/>
      <c r="W75" s="162">
        <v>500</v>
      </c>
      <c r="X75" s="36"/>
      <c r="Y75" s="2">
        <v>5572</v>
      </c>
      <c r="Z75" s="36"/>
      <c r="AA75" s="2">
        <v>0</v>
      </c>
      <c r="AB75" s="36"/>
      <c r="AC75" s="66"/>
      <c r="AD75" s="131" t="str">
        <f t="shared" si="8"/>
        <v>5807</v>
      </c>
      <c r="AE75" s="2" t="str">
        <f t="shared" si="8"/>
        <v>Consultants</v>
      </c>
      <c r="AF75" s="2">
        <f t="shared" si="9"/>
        <v>38700.369999999995</v>
      </c>
    </row>
    <row r="76" spans="1:32" x14ac:dyDescent="0.25">
      <c r="A76" s="131" t="s">
        <v>122</v>
      </c>
      <c r="B76" s="2" t="s">
        <v>123</v>
      </c>
      <c r="C76" s="3">
        <v>0</v>
      </c>
      <c r="E76" s="2">
        <v>0</v>
      </c>
      <c r="F76" s="36"/>
      <c r="G76" s="2">
        <v>0</v>
      </c>
      <c r="H76" s="36"/>
      <c r="I76" s="162">
        <v>0</v>
      </c>
      <c r="J76" s="36"/>
      <c r="K76" s="2">
        <v>0</v>
      </c>
      <c r="L76" s="36"/>
      <c r="M76" s="2">
        <v>0</v>
      </c>
      <c r="N76" s="36"/>
      <c r="O76" s="2">
        <v>0</v>
      </c>
      <c r="P76" s="36"/>
      <c r="Q76" s="2">
        <v>390</v>
      </c>
      <c r="R76" s="36"/>
      <c r="S76" s="162">
        <v>0</v>
      </c>
      <c r="T76" s="36"/>
      <c r="U76" s="2">
        <v>0</v>
      </c>
      <c r="V76" s="36"/>
      <c r="W76" s="162">
        <v>0</v>
      </c>
      <c r="X76" s="36"/>
      <c r="Y76" s="2">
        <v>0</v>
      </c>
      <c r="Z76" s="36"/>
      <c r="AB76" s="36"/>
      <c r="AC76" s="66"/>
      <c r="AD76" s="131" t="str">
        <f t="shared" si="8"/>
        <v>5809</v>
      </c>
      <c r="AE76" s="2" t="str">
        <f t="shared" si="8"/>
        <v>Fees</v>
      </c>
      <c r="AF76" s="2">
        <f t="shared" si="9"/>
        <v>390</v>
      </c>
    </row>
    <row r="77" spans="1:32" x14ac:dyDescent="0.25">
      <c r="A77" s="131" t="s">
        <v>7</v>
      </c>
      <c r="B77" s="2" t="s">
        <v>6</v>
      </c>
      <c r="C77" s="3">
        <v>16000</v>
      </c>
      <c r="E77" s="2">
        <v>0</v>
      </c>
      <c r="F77" s="36"/>
      <c r="G77" s="2">
        <v>0</v>
      </c>
      <c r="H77" s="36"/>
      <c r="I77" s="162">
        <v>9922</v>
      </c>
      <c r="J77" s="36"/>
      <c r="K77" s="2">
        <v>2000</v>
      </c>
      <c r="L77" s="36"/>
      <c r="M77" s="2">
        <v>3000</v>
      </c>
      <c r="N77" s="36"/>
      <c r="O77" s="2">
        <v>0</v>
      </c>
      <c r="P77" s="36"/>
      <c r="Q77" s="2">
        <v>1000</v>
      </c>
      <c r="R77" s="36"/>
      <c r="S77" s="162">
        <v>4000</v>
      </c>
      <c r="T77" s="36"/>
      <c r="U77" s="2">
        <v>4450</v>
      </c>
      <c r="V77" s="36"/>
      <c r="W77" s="162">
        <v>300</v>
      </c>
      <c r="X77" s="36"/>
      <c r="Y77" s="2">
        <v>500</v>
      </c>
      <c r="Z77" s="36"/>
      <c r="AA77" s="2">
        <v>3500</v>
      </c>
      <c r="AB77" s="36"/>
      <c r="AC77" s="66"/>
      <c r="AD77" s="131" t="str">
        <f t="shared" si="8"/>
        <v>5813</v>
      </c>
      <c r="AE77" s="2" t="str">
        <f t="shared" si="8"/>
        <v>Outside Services</v>
      </c>
      <c r="AF77" s="2">
        <f t="shared" si="9"/>
        <v>44672</v>
      </c>
    </row>
    <row r="78" spans="1:32" x14ac:dyDescent="0.25">
      <c r="A78" s="131" t="s">
        <v>5</v>
      </c>
      <c r="B78" s="2" t="s">
        <v>4</v>
      </c>
      <c r="C78" s="3">
        <v>24998</v>
      </c>
      <c r="E78" s="2">
        <v>0</v>
      </c>
      <c r="F78" s="36"/>
      <c r="G78" s="2">
        <v>0</v>
      </c>
      <c r="H78" s="36"/>
      <c r="I78" s="162">
        <v>0</v>
      </c>
      <c r="J78" s="36"/>
      <c r="K78" s="2">
        <v>1614</v>
      </c>
      <c r="L78" s="36"/>
      <c r="M78" s="2">
        <v>0</v>
      </c>
      <c r="N78" s="36"/>
      <c r="O78" s="2">
        <v>300</v>
      </c>
      <c r="P78" s="36"/>
      <c r="Q78" s="2">
        <v>500</v>
      </c>
      <c r="R78" s="36"/>
      <c r="S78" s="162">
        <v>2689</v>
      </c>
      <c r="T78" s="36"/>
      <c r="U78" s="2">
        <v>0</v>
      </c>
      <c r="V78" s="36"/>
      <c r="W78" s="162">
        <v>4200</v>
      </c>
      <c r="X78" s="36"/>
      <c r="Y78" s="2">
        <v>1554</v>
      </c>
      <c r="Z78" s="36"/>
      <c r="AA78" s="2">
        <v>0</v>
      </c>
      <c r="AB78" s="36"/>
      <c r="AC78" s="66"/>
      <c r="AD78" s="131" t="str">
        <f t="shared" si="8"/>
        <v>5814</v>
      </c>
      <c r="AE78" s="2" t="str">
        <f t="shared" si="8"/>
        <v>Other Services</v>
      </c>
      <c r="AF78" s="2">
        <f t="shared" si="9"/>
        <v>35855</v>
      </c>
    </row>
    <row r="79" spans="1:32" x14ac:dyDescent="0.25">
      <c r="A79" s="131" t="s">
        <v>3</v>
      </c>
      <c r="B79" s="2" t="s">
        <v>2</v>
      </c>
      <c r="C79" s="3">
        <v>2000</v>
      </c>
      <c r="E79" s="2">
        <v>0</v>
      </c>
      <c r="F79" s="36"/>
      <c r="G79" s="2">
        <v>0</v>
      </c>
      <c r="H79" s="36"/>
      <c r="I79" s="162">
        <v>1700</v>
      </c>
      <c r="J79" s="36"/>
      <c r="K79" s="2">
        <v>0</v>
      </c>
      <c r="L79" s="36"/>
      <c r="M79" s="2">
        <v>0</v>
      </c>
      <c r="N79" s="36"/>
      <c r="O79" s="2">
        <v>0</v>
      </c>
      <c r="P79" s="36"/>
      <c r="Q79" s="2">
        <v>0</v>
      </c>
      <c r="R79" s="36"/>
      <c r="S79" s="162">
        <v>0</v>
      </c>
      <c r="T79" s="36"/>
      <c r="U79" s="2">
        <v>0</v>
      </c>
      <c r="V79" s="36"/>
      <c r="W79" s="162">
        <v>0</v>
      </c>
      <c r="X79" s="36"/>
      <c r="Y79" s="2">
        <v>0</v>
      </c>
      <c r="Z79" s="36"/>
      <c r="AA79" s="2">
        <v>0</v>
      </c>
      <c r="AB79" s="36"/>
      <c r="AC79" s="66"/>
      <c r="AD79" s="131" t="str">
        <f t="shared" si="8"/>
        <v>5817</v>
      </c>
      <c r="AE79" s="2" t="str">
        <f t="shared" si="8"/>
        <v>Outside Transp.</v>
      </c>
      <c r="AF79" s="2">
        <f t="shared" si="9"/>
        <v>3700</v>
      </c>
    </row>
    <row r="80" spans="1:32" x14ac:dyDescent="0.25">
      <c r="A80" s="131" t="s">
        <v>124</v>
      </c>
      <c r="B80" s="2" t="s">
        <v>125</v>
      </c>
      <c r="C80" s="3">
        <v>0</v>
      </c>
      <c r="E80" s="2">
        <v>0</v>
      </c>
      <c r="F80" s="36"/>
      <c r="G80" s="2">
        <v>0</v>
      </c>
      <c r="H80" s="36"/>
      <c r="I80" s="162">
        <v>0</v>
      </c>
      <c r="J80" s="36"/>
      <c r="K80" s="2">
        <v>0</v>
      </c>
      <c r="L80" s="36"/>
      <c r="M80" s="2">
        <v>0</v>
      </c>
      <c r="N80" s="36"/>
      <c r="O80" s="2">
        <v>0</v>
      </c>
      <c r="P80" s="36"/>
      <c r="Q80" s="2">
        <v>200</v>
      </c>
      <c r="R80" s="36"/>
      <c r="S80" s="162">
        <v>200</v>
      </c>
      <c r="T80" s="36"/>
      <c r="U80" s="2">
        <v>0</v>
      </c>
      <c r="V80" s="36"/>
      <c r="X80" s="36"/>
      <c r="Y80" s="2">
        <v>1000</v>
      </c>
      <c r="Z80" s="36"/>
      <c r="AB80" s="36"/>
      <c r="AC80" s="66"/>
      <c r="AD80" s="131" t="str">
        <f t="shared" si="8"/>
        <v>5908</v>
      </c>
      <c r="AE80" s="2" t="str">
        <f t="shared" si="8"/>
        <v>Postage</v>
      </c>
      <c r="AF80" s="2">
        <f t="shared" si="9"/>
        <v>1400</v>
      </c>
    </row>
    <row r="81" spans="1:33" x14ac:dyDescent="0.25">
      <c r="A81" s="131" t="s">
        <v>1</v>
      </c>
      <c r="C81" s="3">
        <v>0</v>
      </c>
      <c r="E81" s="2">
        <v>0</v>
      </c>
      <c r="F81" s="36"/>
      <c r="G81" s="2">
        <v>0</v>
      </c>
      <c r="H81" s="36"/>
      <c r="I81" s="162">
        <v>0</v>
      </c>
      <c r="J81" s="36"/>
      <c r="K81" s="2">
        <v>0</v>
      </c>
      <c r="L81" s="36"/>
      <c r="M81" s="2">
        <v>0</v>
      </c>
      <c r="N81" s="36"/>
      <c r="O81" s="2">
        <v>0</v>
      </c>
      <c r="P81" s="36"/>
      <c r="Q81" s="2">
        <v>0</v>
      </c>
      <c r="R81" s="36"/>
      <c r="S81" s="162">
        <v>0</v>
      </c>
      <c r="T81" s="36"/>
      <c r="U81" s="2">
        <v>0</v>
      </c>
      <c r="V81" s="36"/>
      <c r="W81" s="162">
        <v>0</v>
      </c>
      <c r="X81" s="36"/>
      <c r="Y81" s="2">
        <v>0</v>
      </c>
      <c r="Z81" s="36"/>
      <c r="AA81" s="2">
        <v>0</v>
      </c>
      <c r="AB81" s="36"/>
      <c r="AC81" s="66"/>
      <c r="AD81" s="131" t="str">
        <f t="shared" si="8"/>
        <v>5000</v>
      </c>
      <c r="AE81" s="126">
        <f t="shared" si="8"/>
        <v>0</v>
      </c>
      <c r="AF81" s="2">
        <f t="shared" si="9"/>
        <v>0</v>
      </c>
    </row>
    <row r="82" spans="1:33" x14ac:dyDescent="0.25">
      <c r="C82" s="8">
        <f>SUM(C69:C81)</f>
        <v>364963.37</v>
      </c>
      <c r="D82" s="33"/>
      <c r="E82" s="8">
        <f>SUM(E69:E81)</f>
        <v>775.44</v>
      </c>
      <c r="F82" s="5"/>
      <c r="G82" s="8">
        <f>SUM(G69:G81)</f>
        <v>500</v>
      </c>
      <c r="H82" s="5"/>
      <c r="I82" s="1200">
        <f>SUM(I69:I81)</f>
        <v>23622</v>
      </c>
      <c r="J82" s="5"/>
      <c r="K82" s="8">
        <f>SUM(K69:K81)</f>
        <v>17564</v>
      </c>
      <c r="L82" s="5"/>
      <c r="M82" s="8">
        <f>SUM(M69:M81)</f>
        <v>10500</v>
      </c>
      <c r="N82" s="5"/>
      <c r="O82" s="8">
        <f>SUM(O69:O81)</f>
        <v>2271</v>
      </c>
      <c r="P82" s="5"/>
      <c r="Q82" s="8">
        <f>SUM(Q69:Q81)</f>
        <v>10971</v>
      </c>
      <c r="R82" s="5"/>
      <c r="S82" s="1200">
        <f>SUM(S69:S81)</f>
        <v>14889</v>
      </c>
      <c r="T82" s="5"/>
      <c r="U82" s="8">
        <f>SUM(U69:U81)</f>
        <v>8616</v>
      </c>
      <c r="V82" s="5"/>
      <c r="W82" s="1200">
        <f>SUM(W69:W81)</f>
        <v>13000</v>
      </c>
      <c r="X82" s="5"/>
      <c r="Y82" s="8">
        <f>SUM(Y69:Y81)</f>
        <v>9426</v>
      </c>
      <c r="Z82" s="5"/>
      <c r="AA82" s="8">
        <f>SUM(AA69:AA81)</f>
        <v>10500</v>
      </c>
      <c r="AB82" s="5"/>
      <c r="AC82" s="29"/>
      <c r="AE82" s="126">
        <f t="shared" si="8"/>
        <v>0</v>
      </c>
      <c r="AF82" s="8">
        <f>SUM(AF69:AF81)</f>
        <v>487597.81</v>
      </c>
    </row>
    <row r="83" spans="1:33" x14ac:dyDescent="0.25">
      <c r="A83" s="127"/>
      <c r="F83" s="36"/>
      <c r="H83" s="36"/>
      <c r="J83" s="36"/>
      <c r="L83" s="36"/>
      <c r="N83" s="36"/>
      <c r="P83" s="36"/>
      <c r="R83" s="36"/>
      <c r="T83" s="36"/>
      <c r="V83" s="36"/>
      <c r="X83" s="36"/>
      <c r="Z83" s="36"/>
      <c r="AB83" s="36"/>
      <c r="AC83" s="66"/>
      <c r="AD83" s="127"/>
    </row>
    <row r="84" spans="1:33" x14ac:dyDescent="0.25">
      <c r="F84" s="36"/>
      <c r="H84" s="36"/>
      <c r="J84" s="36"/>
      <c r="L84" s="36"/>
      <c r="N84" s="36"/>
      <c r="P84" s="36"/>
      <c r="R84" s="36"/>
      <c r="T84" s="36"/>
      <c r="V84" s="36"/>
      <c r="X84" s="36"/>
      <c r="Z84" s="36"/>
      <c r="AB84" s="36"/>
      <c r="AC84" s="66"/>
    </row>
    <row r="85" spans="1:33" x14ac:dyDescent="0.25">
      <c r="A85" s="127" t="s">
        <v>0</v>
      </c>
      <c r="C85" s="8">
        <f>SUM(C82,C66,C55,C13)</f>
        <v>1647165.37</v>
      </c>
      <c r="D85" s="33"/>
      <c r="E85" s="8">
        <f>SUM(E82,E66,E55)</f>
        <v>40899.39</v>
      </c>
      <c r="F85" s="5"/>
      <c r="G85" s="8">
        <f>SUM(G82,G66,G55)</f>
        <v>92864</v>
      </c>
      <c r="H85" s="5"/>
      <c r="I85" s="1200">
        <f>SUM(I82,I66,I55)</f>
        <v>148609</v>
      </c>
      <c r="J85" s="5"/>
      <c r="K85" s="8">
        <f>SUM(K82,K66,K55)</f>
        <v>99051</v>
      </c>
      <c r="L85" s="5"/>
      <c r="M85" s="8">
        <f>SUM(M82,M66,M55)</f>
        <v>65573</v>
      </c>
      <c r="N85" s="5"/>
      <c r="O85" s="8">
        <f>SUM(O82,O66,O55)</f>
        <v>114958</v>
      </c>
      <c r="P85" s="5"/>
      <c r="Q85" s="8">
        <f>SUM(Q82,Q66,Q55)</f>
        <v>100288</v>
      </c>
      <c r="R85" s="5"/>
      <c r="S85" s="1200">
        <f>SUM(S82,S66,S55)</f>
        <v>106619</v>
      </c>
      <c r="T85" s="5"/>
      <c r="U85" s="8">
        <f>SUM(U82,U66,U55)</f>
        <v>67761</v>
      </c>
      <c r="V85" s="5"/>
      <c r="W85" s="1200">
        <f>SUM(W82,W66,W55)</f>
        <v>100960</v>
      </c>
      <c r="X85" s="5"/>
      <c r="Y85" s="8">
        <f>SUM(Y82,Y66,Y55)</f>
        <v>54971</v>
      </c>
      <c r="Z85" s="5"/>
      <c r="AA85" s="8">
        <f>SUM(AA82,AA66,AA55)</f>
        <v>63549</v>
      </c>
      <c r="AB85" s="5"/>
      <c r="AC85" s="29"/>
      <c r="AD85" s="127" t="str">
        <f>A85</f>
        <v>TOTAL EXPENDITURES</v>
      </c>
      <c r="AF85" s="8">
        <f>SUM(AF82,AF66,AF55,AF13)</f>
        <v>2703267.76</v>
      </c>
      <c r="AG85" s="2">
        <f>+SUM(C85:AA85)</f>
        <v>2703267.76</v>
      </c>
    </row>
    <row r="86" spans="1:33" x14ac:dyDescent="0.25">
      <c r="F86" s="36"/>
      <c r="H86" s="36"/>
      <c r="J86" s="36"/>
      <c r="L86" s="36"/>
      <c r="N86" s="36"/>
      <c r="P86" s="36"/>
      <c r="R86" s="36"/>
      <c r="T86" s="36"/>
      <c r="V86" s="36"/>
      <c r="X86" s="36"/>
      <c r="Z86" s="36"/>
      <c r="AB86" s="36"/>
      <c r="AC86" s="66"/>
    </row>
    <row r="87" spans="1:33" ht="15.75" x14ac:dyDescent="0.25">
      <c r="B87" s="2" t="s">
        <v>747</v>
      </c>
      <c r="F87" s="36"/>
      <c r="G87" s="2">
        <v>63864</v>
      </c>
      <c r="H87" s="36" t="s">
        <v>187</v>
      </c>
      <c r="J87" s="36"/>
      <c r="K87" s="2">
        <v>60043</v>
      </c>
      <c r="L87" s="36" t="s">
        <v>187</v>
      </c>
      <c r="N87" s="36"/>
      <c r="O87" s="2">
        <v>75954</v>
      </c>
      <c r="P87" s="36" t="s">
        <v>187</v>
      </c>
      <c r="Q87" s="2">
        <v>61288</v>
      </c>
      <c r="R87" s="36" t="s">
        <v>187</v>
      </c>
      <c r="T87" s="36"/>
      <c r="V87" s="36"/>
      <c r="X87" s="36"/>
      <c r="Z87" s="36"/>
      <c r="AB87" s="36"/>
      <c r="AC87" s="66"/>
      <c r="AD87" s="127" t="s">
        <v>138</v>
      </c>
      <c r="AF87" s="119">
        <f>AF11-AF85</f>
        <v>27167.610000000335</v>
      </c>
    </row>
    <row r="88" spans="1:33" x14ac:dyDescent="0.25">
      <c r="B88" s="130" t="s">
        <v>181</v>
      </c>
      <c r="C88" s="97">
        <f>+C85</f>
        <v>1647165.37</v>
      </c>
      <c r="G88" s="2">
        <f>+G85-G87</f>
        <v>29000</v>
      </c>
      <c r="H88" s="2" t="s">
        <v>188</v>
      </c>
      <c r="K88" s="2">
        <f>+K85-K87</f>
        <v>39008</v>
      </c>
      <c r="L88" s="2" t="s">
        <v>188</v>
      </c>
      <c r="O88" s="2">
        <f>+O85-O87</f>
        <v>39004</v>
      </c>
      <c r="P88" s="2" t="s">
        <v>188</v>
      </c>
      <c r="Q88" s="2">
        <f>+Q85-Q87</f>
        <v>39000</v>
      </c>
      <c r="R88" s="2" t="s">
        <v>188</v>
      </c>
      <c r="AD88" s="127"/>
      <c r="AE88" s="37"/>
      <c r="AF88" s="3"/>
    </row>
    <row r="89" spans="1:33" ht="15.75" x14ac:dyDescent="0.25">
      <c r="B89" s="130" t="s">
        <v>180</v>
      </c>
      <c r="C89" s="97">
        <f>SUM(E85,G85,I85,K85,M85,O85,Q85,S85,U85,W85,Y85,AA85)</f>
        <v>1056102.3900000001</v>
      </c>
      <c r="AD89" s="127" t="s">
        <v>136</v>
      </c>
      <c r="AE89" s="127"/>
      <c r="AF89" s="119">
        <f>AF7+AF87</f>
        <v>27167.610000000335</v>
      </c>
    </row>
    <row r="90" spans="1:33" x14ac:dyDescent="0.25">
      <c r="B90" s="99"/>
      <c r="C90" s="390">
        <f>SUM(C88:C89)</f>
        <v>2703267.7600000002</v>
      </c>
      <c r="AE90" s="6"/>
    </row>
    <row r="91" spans="1:33" s="107" customFormat="1" x14ac:dyDescent="0.25">
      <c r="A91" s="391"/>
      <c r="B91" s="392"/>
      <c r="C91" s="393">
        <f>+C11-C90</f>
        <v>27167.60999999987</v>
      </c>
      <c r="D91" s="394"/>
      <c r="I91" s="1202"/>
      <c r="S91" s="1202"/>
      <c r="W91" s="1202"/>
      <c r="AC91" s="395"/>
      <c r="AD91" s="396"/>
    </row>
    <row r="92" spans="1:33" s="1229" customFormat="1" ht="17.25" x14ac:dyDescent="0.4">
      <c r="C92" s="1229" t="str">
        <f>+C19</f>
        <v>200 - DO</v>
      </c>
      <c r="D92" s="35"/>
      <c r="E92" s="1229" t="str">
        <f>+E19</f>
        <v>010 - CFB</v>
      </c>
      <c r="G92" s="1229" t="str">
        <f>+G19</f>
        <v>020 - SH</v>
      </c>
      <c r="I92" s="1229" t="str">
        <f>+I19</f>
        <v>030 - SO</v>
      </c>
      <c r="K92" s="1229" t="str">
        <f>+K19</f>
        <v>040 - ST</v>
      </c>
      <c r="M92" s="1229" t="str">
        <f>+M19</f>
        <v>050 - SC</v>
      </c>
      <c r="O92" s="1229" t="str">
        <f>+O19</f>
        <v>060 - SY</v>
      </c>
      <c r="Q92" s="1229" t="str">
        <f>+Q19</f>
        <v>070 - WO</v>
      </c>
      <c r="S92" s="1229" t="str">
        <f>+S19</f>
        <v>080 - EU</v>
      </c>
      <c r="U92" s="1229" t="str">
        <f>+U19</f>
        <v>090 - OR</v>
      </c>
      <c r="W92" s="1229" t="str">
        <f>+W19</f>
        <v>110 - DS</v>
      </c>
      <c r="Y92" s="1229" t="str">
        <f>+Y19</f>
        <v>120 - MAS</v>
      </c>
      <c r="AA92" s="1229" t="str">
        <f>+AA19</f>
        <v>130 - CR</v>
      </c>
      <c r="AC92" s="1230"/>
      <c r="AE92" s="35"/>
    </row>
    <row r="93" spans="1:33" s="826" customFormat="1" x14ac:dyDescent="0.25">
      <c r="A93" s="1142"/>
      <c r="B93" s="908" t="str">
        <f>"Actuals as of "&amp;TEXT(C17,"mm/dd/yyyy")</f>
        <v>Actuals as of 01/00/1900</v>
      </c>
      <c r="C93" s="1143">
        <v>930477.1</v>
      </c>
      <c r="D93" s="1144"/>
      <c r="E93" s="1143">
        <v>35714.79</v>
      </c>
      <c r="F93" s="1145"/>
      <c r="G93" s="1143">
        <v>57236.46</v>
      </c>
      <c r="H93" s="1145" t="s">
        <v>776</v>
      </c>
      <c r="I93" s="486">
        <v>73443.199999999997</v>
      </c>
      <c r="J93" s="1145"/>
      <c r="K93" s="1143">
        <v>38531.620000000003</v>
      </c>
      <c r="L93" s="1145" t="s">
        <v>776</v>
      </c>
      <c r="M93" s="1143">
        <v>45807.040000000001</v>
      </c>
      <c r="N93" s="1145"/>
      <c r="O93" s="1143">
        <v>9374.16</v>
      </c>
      <c r="P93" s="1145"/>
      <c r="Q93" s="1143">
        <v>56854.27</v>
      </c>
      <c r="R93" s="1145"/>
      <c r="S93" s="486">
        <v>36133.160000000003</v>
      </c>
      <c r="T93" s="1145"/>
      <c r="U93" s="1143">
        <v>46611.59</v>
      </c>
      <c r="V93" s="1145"/>
      <c r="W93" s="486">
        <v>66249.31</v>
      </c>
      <c r="X93" s="1145"/>
      <c r="Y93" s="1143">
        <v>28964.639999999999</v>
      </c>
      <c r="Z93" s="1145"/>
      <c r="AA93" s="1143">
        <v>22021.87</v>
      </c>
      <c r="AB93" s="1145"/>
      <c r="AC93" s="1146"/>
      <c r="AD93" s="908"/>
      <c r="AE93" s="908" t="str">
        <f>B93</f>
        <v>Actuals as of 01/00/1900</v>
      </c>
      <c r="AF93" s="826">
        <f>SUM(C93,E93,G93,I93,K93,M93,O93,Q93,S93,U93,W93,Y93,AA93)</f>
        <v>1447419.2100000002</v>
      </c>
    </row>
    <row r="94" spans="1:33" s="826" customFormat="1" x14ac:dyDescent="0.25">
      <c r="A94" s="908"/>
      <c r="B94" s="908" t="str">
        <f>"Encumb. as of "&amp;TEXT(C17,"mm/dd/yyyy")</f>
        <v>Encumb. as of 01/00/1900</v>
      </c>
      <c r="C94" s="1143">
        <v>327228.25</v>
      </c>
      <c r="D94" s="1144"/>
      <c r="E94" s="1143">
        <v>0</v>
      </c>
      <c r="F94" s="1145"/>
      <c r="G94" s="1143">
        <v>35679.75</v>
      </c>
      <c r="H94" s="1145" t="s">
        <v>777</v>
      </c>
      <c r="I94" s="486">
        <v>8148.57</v>
      </c>
      <c r="J94" s="1145"/>
      <c r="K94" s="1143">
        <v>52541.599999999999</v>
      </c>
      <c r="L94" s="1145" t="s">
        <v>777</v>
      </c>
      <c r="M94" s="1143">
        <v>11354.21</v>
      </c>
      <c r="N94" s="1145"/>
      <c r="O94" s="1143">
        <v>101715.69</v>
      </c>
      <c r="P94" s="1145"/>
      <c r="Q94" s="1143">
        <f>11599.44+406.32+95.03</f>
        <v>12100.79</v>
      </c>
      <c r="R94" s="1145" t="s">
        <v>798</v>
      </c>
      <c r="S94" s="486">
        <v>25494.69</v>
      </c>
      <c r="T94" s="1145"/>
      <c r="U94" s="1143">
        <v>4221.18</v>
      </c>
      <c r="V94" s="1145"/>
      <c r="W94" s="486">
        <v>16945.87</v>
      </c>
      <c r="X94" s="1145"/>
      <c r="Y94" s="1143">
        <v>22633.94</v>
      </c>
      <c r="Z94" s="1145"/>
      <c r="AA94" s="1143">
        <v>18979.060000000001</v>
      </c>
      <c r="AB94" s="1145"/>
      <c r="AC94" s="1146"/>
      <c r="AD94" s="908"/>
      <c r="AE94" s="908" t="str">
        <f>B94</f>
        <v>Encumb. as of 01/00/1900</v>
      </c>
      <c r="AF94" s="826">
        <f>SUM(C94,E94,G94,I94,K94,M94,O94,Q94,S94,U94,W94,Y94,AA94)</f>
        <v>637043.60000000009</v>
      </c>
    </row>
    <row r="95" spans="1:33" s="826" customFormat="1" ht="15" customHeight="1" x14ac:dyDescent="0.25">
      <c r="A95" s="908"/>
      <c r="B95" s="909" t="s">
        <v>118</v>
      </c>
      <c r="C95" s="1147">
        <f>SUM(C93:C94)</f>
        <v>1257705.3500000001</v>
      </c>
      <c r="D95" s="1144"/>
      <c r="E95" s="1147">
        <f>SUM(E93:E94)</f>
        <v>35714.79</v>
      </c>
      <c r="F95" s="1145"/>
      <c r="G95" s="1147">
        <f>SUM(G93:G94)</f>
        <v>92916.209999999992</v>
      </c>
      <c r="H95" s="1145" t="s">
        <v>778</v>
      </c>
      <c r="I95" s="1203">
        <f>SUM(I93:I94)</f>
        <v>81591.76999999999</v>
      </c>
      <c r="J95" s="1145"/>
      <c r="K95" s="1147">
        <f>SUM(K93:K94)</f>
        <v>91073.22</v>
      </c>
      <c r="L95" s="1145" t="s">
        <v>778</v>
      </c>
      <c r="M95" s="1147">
        <f>SUM(M93:M94)</f>
        <v>57161.25</v>
      </c>
      <c r="N95" s="1145"/>
      <c r="O95" s="1147">
        <f>SUM(O93:O94)</f>
        <v>111089.85</v>
      </c>
      <c r="P95" s="1145"/>
      <c r="Q95" s="1147">
        <f>SUM(Q93:Q94)</f>
        <v>68955.06</v>
      </c>
      <c r="R95" s="1145"/>
      <c r="S95" s="1203">
        <f>SUM(S93:S94)</f>
        <v>61627.850000000006</v>
      </c>
      <c r="T95" s="1145"/>
      <c r="U95" s="1147">
        <f>SUM(U93:U94)</f>
        <v>50832.77</v>
      </c>
      <c r="V95" s="1145"/>
      <c r="W95" s="1203">
        <f>SUM(W93:W94)</f>
        <v>83195.179999999993</v>
      </c>
      <c r="X95" s="1145"/>
      <c r="Y95" s="1147">
        <f>SUM(Y93:Y94)</f>
        <v>51598.58</v>
      </c>
      <c r="Z95" s="1145"/>
      <c r="AA95" s="1147">
        <f>SUM(AA93:AA94)</f>
        <v>41000.93</v>
      </c>
      <c r="AB95" s="1145"/>
      <c r="AC95" s="1146"/>
      <c r="AD95" s="908"/>
      <c r="AE95" s="908" t="str">
        <f>B95</f>
        <v>TOTAL</v>
      </c>
      <c r="AF95" s="1148">
        <f>SUM(AF93:AF94)</f>
        <v>2084462.8100000003</v>
      </c>
    </row>
    <row r="96" spans="1:33" x14ac:dyDescent="0.25">
      <c r="E96" s="3"/>
      <c r="F96" s="36"/>
      <c r="G96" s="3"/>
      <c r="H96" s="36"/>
      <c r="I96" s="486"/>
      <c r="J96" s="36"/>
      <c r="K96" s="3"/>
      <c r="L96" s="36"/>
      <c r="M96" s="1157"/>
      <c r="N96" s="36"/>
      <c r="O96" s="3"/>
      <c r="P96" s="36"/>
      <c r="Q96" s="3"/>
      <c r="R96" s="36"/>
      <c r="S96" s="486"/>
      <c r="T96" s="36"/>
      <c r="U96" s="3"/>
      <c r="V96" s="36"/>
      <c r="W96" s="486"/>
      <c r="X96" s="36"/>
      <c r="Y96" s="3"/>
      <c r="Z96" s="36"/>
      <c r="AA96" s="3"/>
      <c r="AB96" s="36"/>
      <c r="AC96" s="66"/>
      <c r="AD96" s="1232"/>
      <c r="AE96" s="1232"/>
    </row>
    <row r="97" spans="1:33" x14ac:dyDescent="0.25">
      <c r="B97" s="908" t="s">
        <v>748</v>
      </c>
      <c r="C97" s="1154">
        <f>C85-C95</f>
        <v>389460.02</v>
      </c>
      <c r="D97" s="1155"/>
      <c r="E97" s="1154">
        <f>E85-E95</f>
        <v>5184.5999999999985</v>
      </c>
      <c r="F97" s="1156"/>
      <c r="G97" s="1154">
        <f>G85-G95</f>
        <v>-52.209999999991851</v>
      </c>
      <c r="H97" s="1156"/>
      <c r="I97" s="1204">
        <f>I85-I95</f>
        <v>67017.23000000001</v>
      </c>
      <c r="J97" s="1156"/>
      <c r="K97" s="1154">
        <f>K85-K95</f>
        <v>7977.7799999999988</v>
      </c>
      <c r="L97" s="1156"/>
      <c r="M97" s="1154">
        <f>M85-M95</f>
        <v>8411.75</v>
      </c>
      <c r="N97" s="1156"/>
      <c r="O97" s="1154">
        <f>O85-O95</f>
        <v>3868.1499999999942</v>
      </c>
      <c r="P97" s="1156"/>
      <c r="Q97" s="1154">
        <f>Q85-Q95</f>
        <v>31332.940000000002</v>
      </c>
      <c r="R97" s="1156"/>
      <c r="S97" s="1204">
        <f>S85-S95</f>
        <v>44991.149999999994</v>
      </c>
      <c r="T97" s="1156"/>
      <c r="U97" s="1154">
        <f>U85-U95</f>
        <v>16928.230000000003</v>
      </c>
      <c r="V97" s="1156"/>
      <c r="W97" s="1204">
        <f>W85-W95</f>
        <v>17764.820000000007</v>
      </c>
      <c r="X97" s="1156"/>
      <c r="Y97" s="1154">
        <f>Y85-Y95</f>
        <v>3372.4199999999983</v>
      </c>
      <c r="Z97" s="1156"/>
      <c r="AA97" s="1154">
        <f>AA85-AA95</f>
        <v>22548.07</v>
      </c>
      <c r="AB97" s="36"/>
      <c r="AC97" s="66"/>
      <c r="AE97" s="908" t="str">
        <f>B97</f>
        <v>Balance Available</v>
      </c>
      <c r="AF97" s="1154">
        <f>AF85-AF95</f>
        <v>618804.94999999949</v>
      </c>
    </row>
    <row r="98" spans="1:33" x14ac:dyDescent="0.25">
      <c r="L98" s="1221" t="s">
        <v>786</v>
      </c>
      <c r="AE98" s="37"/>
    </row>
    <row r="99" spans="1:33" x14ac:dyDescent="0.25">
      <c r="E99" s="491"/>
      <c r="F99" s="491"/>
      <c r="H99" s="1221" t="s">
        <v>786</v>
      </c>
      <c r="J99" s="1221" t="s">
        <v>786</v>
      </c>
      <c r="L99" s="1220" t="s">
        <v>785</v>
      </c>
      <c r="N99" s="1221" t="s">
        <v>786</v>
      </c>
      <c r="P99" s="1221" t="s">
        <v>786</v>
      </c>
      <c r="AE99" s="37"/>
    </row>
    <row r="100" spans="1:33" ht="15" customHeight="1" x14ac:dyDescent="0.25">
      <c r="B100" s="2152" t="s">
        <v>799</v>
      </c>
      <c r="C100" s="2">
        <v>338000</v>
      </c>
      <c r="D100" s="2" t="s">
        <v>130</v>
      </c>
      <c r="E100" s="491">
        <v>2545.7800000000002</v>
      </c>
      <c r="F100" s="491" t="s">
        <v>558</v>
      </c>
      <c r="G100" s="1210">
        <v>1160</v>
      </c>
      <c r="H100" s="1210" t="s">
        <v>805</v>
      </c>
      <c r="I100" s="1210">
        <v>14749.19</v>
      </c>
      <c r="J100" s="1210" t="s">
        <v>772</v>
      </c>
      <c r="K100" s="1210">
        <f>1029.42+401.96</f>
        <v>1431.38</v>
      </c>
      <c r="L100" s="1210" t="s">
        <v>805</v>
      </c>
      <c r="M100" s="1210">
        <v>5444.6</v>
      </c>
      <c r="N100" s="1210" t="s">
        <v>772</v>
      </c>
      <c r="O100" s="1223">
        <v>833</v>
      </c>
      <c r="P100" s="1223" t="s">
        <v>791</v>
      </c>
      <c r="Q100" s="1210">
        <v>6858.37</v>
      </c>
      <c r="R100" s="1210" t="s">
        <v>780</v>
      </c>
      <c r="S100" s="1210">
        <v>14378</v>
      </c>
      <c r="T100" s="1210" t="s">
        <v>772</v>
      </c>
      <c r="U100" s="1210">
        <v>6660</v>
      </c>
      <c r="V100" s="1210" t="s">
        <v>772</v>
      </c>
      <c r="W100" s="1210">
        <v>5603.54</v>
      </c>
      <c r="X100" s="1210" t="s">
        <v>772</v>
      </c>
      <c r="Y100" s="1210">
        <v>1032.5</v>
      </c>
      <c r="Z100" s="1210" t="s">
        <v>772</v>
      </c>
      <c r="AA100" s="1210">
        <v>13808.99</v>
      </c>
      <c r="AB100" s="1210" t="s">
        <v>772</v>
      </c>
      <c r="AE100" s="2155" t="str">
        <f>+B100</f>
        <v>2016-2017 c/o to be expensed in 2017-18 and/or trying to expese by June 30, 2017</v>
      </c>
      <c r="AF100" s="826">
        <f>SUM(C100,E100,G100,I100,K100,M100,O100,Q100,S100,U100,W100,Y100,AA100)</f>
        <v>412505.35</v>
      </c>
      <c r="AG100" s="826" t="s">
        <v>802</v>
      </c>
    </row>
    <row r="101" spans="1:33" x14ac:dyDescent="0.25">
      <c r="A101" s="1224"/>
      <c r="B101" s="2152"/>
      <c r="C101" s="2">
        <v>26000</v>
      </c>
      <c r="D101" s="2" t="s">
        <v>131</v>
      </c>
      <c r="E101" s="491">
        <v>108.42</v>
      </c>
      <c r="F101" s="491" t="s">
        <v>35</v>
      </c>
      <c r="G101" s="1210">
        <v>1627.47</v>
      </c>
      <c r="H101" s="1210" t="s">
        <v>805</v>
      </c>
      <c r="I101" s="1210">
        <v>3266.5</v>
      </c>
      <c r="J101" s="1210" t="s">
        <v>773</v>
      </c>
      <c r="K101" s="1210">
        <v>255.92</v>
      </c>
      <c r="L101" s="1210" t="s">
        <v>805</v>
      </c>
      <c r="M101" s="1210">
        <v>270.62</v>
      </c>
      <c r="N101" s="1210" t="s">
        <v>773</v>
      </c>
      <c r="O101" s="1223">
        <v>603</v>
      </c>
      <c r="P101" s="1223" t="s">
        <v>792</v>
      </c>
      <c r="Q101" s="1210">
        <f>1221-876.73</f>
        <v>344.27</v>
      </c>
      <c r="R101" s="1210" t="s">
        <v>793</v>
      </c>
      <c r="S101" s="1210">
        <v>5718.97</v>
      </c>
      <c r="T101" s="1210" t="s">
        <v>773</v>
      </c>
      <c r="U101" s="1210">
        <v>108.14</v>
      </c>
      <c r="V101" s="1210" t="s">
        <v>773</v>
      </c>
      <c r="W101" s="1210">
        <v>706.64</v>
      </c>
      <c r="X101" s="1210" t="s">
        <v>773</v>
      </c>
      <c r="Y101" s="1210">
        <v>84.63</v>
      </c>
      <c r="Z101" s="1210" t="s">
        <v>773</v>
      </c>
      <c r="AA101" s="1210">
        <v>649.42999999999995</v>
      </c>
      <c r="AB101" s="1210" t="s">
        <v>773</v>
      </c>
      <c r="AD101" s="1226"/>
      <c r="AE101" s="2155"/>
      <c r="AF101" s="826">
        <f>SUM(C101,E101,G101,I101,K101,M101,O101,Q101,S101,U101,W101,Y101,AA101)</f>
        <v>39744.009999999995</v>
      </c>
      <c r="AG101" s="826" t="s">
        <v>803</v>
      </c>
    </row>
    <row r="102" spans="1:33" x14ac:dyDescent="0.25">
      <c r="B102" s="2152"/>
      <c r="C102" s="1209">
        <f>+(SUM(C95,E95,G95,I95,K95,M95,O95,Q95,S95,U95,W95,Y95,AA95,E105,G105,I105,K105,O105,Q105,S105,U105,W105,Y105,AA105)*0.037)</f>
        <v>81635.331470000005</v>
      </c>
      <c r="D102" s="30" t="s">
        <v>769</v>
      </c>
      <c r="E102" s="491">
        <v>2530.4</v>
      </c>
      <c r="F102" s="491" t="s">
        <v>27</v>
      </c>
      <c r="G102" s="1210">
        <v>1013.24</v>
      </c>
      <c r="H102" s="1210" t="s">
        <v>805</v>
      </c>
      <c r="I102" s="1210">
        <v>1713.5</v>
      </c>
      <c r="J102" s="1210" t="s">
        <v>771</v>
      </c>
      <c r="K102" s="1210">
        <v>602.34</v>
      </c>
      <c r="L102" s="1210" t="s">
        <v>805</v>
      </c>
      <c r="M102" s="1210">
        <v>1297.4100000000001</v>
      </c>
      <c r="N102" s="1210" t="s">
        <v>771</v>
      </c>
      <c r="O102" s="1210">
        <v>2428.15</v>
      </c>
      <c r="P102" s="1228"/>
      <c r="Q102" s="1210">
        <f>1738-455.48</f>
        <v>1282.52</v>
      </c>
      <c r="R102" s="1210" t="s">
        <v>800</v>
      </c>
      <c r="S102" s="1210">
        <v>2952.69</v>
      </c>
      <c r="T102" s="1210" t="s">
        <v>771</v>
      </c>
      <c r="U102" s="1210">
        <v>3302.96</v>
      </c>
      <c r="V102" s="1210" t="s">
        <v>771</v>
      </c>
      <c r="W102" s="1210">
        <v>2961.55</v>
      </c>
      <c r="X102" s="1210" t="s">
        <v>771</v>
      </c>
      <c r="Y102" s="1210">
        <v>274.94</v>
      </c>
      <c r="Z102" s="1210" t="s">
        <v>771</v>
      </c>
      <c r="AA102" s="1210">
        <v>3035.93</v>
      </c>
      <c r="AB102" s="1210" t="s">
        <v>771</v>
      </c>
      <c r="AD102" s="908"/>
      <c r="AE102" s="2155"/>
      <c r="AF102" s="826">
        <f>SUM(C102,E102,G102,I102,K102,M102,O102,Q102,S102,U102,W102,Y102,AA102)</f>
        <v>105030.96147000001</v>
      </c>
      <c r="AG102" s="826" t="s">
        <v>804</v>
      </c>
    </row>
    <row r="103" spans="1:33" ht="15" customHeight="1" x14ac:dyDescent="0.25">
      <c r="B103" s="2152"/>
      <c r="C103" s="2">
        <v>0</v>
      </c>
      <c r="D103" s="1210" t="s">
        <v>770</v>
      </c>
      <c r="E103" s="2">
        <v>0</v>
      </c>
      <c r="G103" s="1222">
        <f>3203.15+418.11+1289.09-254.13</f>
        <v>4656.22</v>
      </c>
      <c r="H103" s="1222" t="s">
        <v>781</v>
      </c>
      <c r="I103" s="162">
        <v>0</v>
      </c>
      <c r="K103" s="1222">
        <f>5287.82+794.28-401.96</f>
        <v>5680.1399999999994</v>
      </c>
      <c r="L103" s="1222" t="s">
        <v>783</v>
      </c>
      <c r="M103" s="2">
        <v>0</v>
      </c>
      <c r="P103" s="2" t="s">
        <v>806</v>
      </c>
      <c r="Q103" s="1222">
        <f>2837.47+428.32</f>
        <v>3265.79</v>
      </c>
      <c r="R103" s="1222" t="s">
        <v>794</v>
      </c>
      <c r="S103" s="162">
        <v>0</v>
      </c>
      <c r="U103" s="2">
        <v>0</v>
      </c>
      <c r="W103" s="162">
        <v>0</v>
      </c>
      <c r="Y103" s="2">
        <v>0</v>
      </c>
      <c r="AA103" s="2">
        <v>0</v>
      </c>
      <c r="AD103" s="908"/>
      <c r="AE103" s="2155"/>
      <c r="AF103" s="826">
        <f>SUM(C103,E103,G103,I103,K103,M103,O103,Q103,S103,U103,W103,Y103,AA103)</f>
        <v>13602.150000000001</v>
      </c>
      <c r="AG103" s="826" t="s">
        <v>134</v>
      </c>
    </row>
    <row r="104" spans="1:33" x14ac:dyDescent="0.25">
      <c r="B104" s="2152"/>
      <c r="C104" s="2">
        <v>0</v>
      </c>
      <c r="D104" s="2"/>
      <c r="E104" s="2">
        <v>0</v>
      </c>
      <c r="G104" s="2">
        <v>0</v>
      </c>
      <c r="I104" s="162">
        <v>0</v>
      </c>
      <c r="K104" s="1222">
        <v>0</v>
      </c>
      <c r="L104" s="1222" t="s">
        <v>784</v>
      </c>
      <c r="M104" s="2">
        <v>0</v>
      </c>
      <c r="O104" s="2">
        <v>0</v>
      </c>
      <c r="Q104" s="1222">
        <f>3162.99+500</f>
        <v>3662.99</v>
      </c>
      <c r="R104" s="1222" t="s">
        <v>795</v>
      </c>
      <c r="S104" s="162">
        <v>0</v>
      </c>
      <c r="U104" s="2">
        <v>0</v>
      </c>
      <c r="W104" s="162">
        <v>0</v>
      </c>
      <c r="Y104" s="2">
        <v>0</v>
      </c>
      <c r="AA104" s="2">
        <v>0</v>
      </c>
      <c r="AD104" s="908"/>
      <c r="AE104" s="2155"/>
      <c r="AF104" s="826">
        <f>SUM(C104,E104,G104,I104,K104,M104,O104,Q104,S104,U104,W104,Y104,AA104)</f>
        <v>3662.99</v>
      </c>
      <c r="AG104" s="826" t="s">
        <v>134</v>
      </c>
    </row>
    <row r="105" spans="1:33" x14ac:dyDescent="0.25">
      <c r="B105" s="2152"/>
      <c r="C105" s="161">
        <f>SUM(C100:C104)</f>
        <v>445635.33146999998</v>
      </c>
      <c r="D105" s="2" t="s">
        <v>57</v>
      </c>
      <c r="E105" s="161">
        <f>SUM(E100:E104)</f>
        <v>5184.6000000000004</v>
      </c>
      <c r="G105" s="161">
        <f>SUM(G100:G104)</f>
        <v>8456.93</v>
      </c>
      <c r="I105" s="1205">
        <f>SUM(I100:I104)</f>
        <v>19729.190000000002</v>
      </c>
      <c r="K105" s="161">
        <f>SUM(K100:K104)</f>
        <v>7969.78</v>
      </c>
      <c r="M105" s="161">
        <f>SUM(M100:M104)</f>
        <v>7012.63</v>
      </c>
      <c r="O105" s="161">
        <f>SUM(O100:O104)</f>
        <v>3864.15</v>
      </c>
      <c r="Q105" s="161">
        <f>SUM(Q100:Q104)</f>
        <v>15413.94</v>
      </c>
      <c r="S105" s="1205">
        <f>SUM(S100:S104)</f>
        <v>23049.66</v>
      </c>
      <c r="U105" s="161">
        <f>SUM(U100:U104)</f>
        <v>10071.1</v>
      </c>
      <c r="W105" s="1205">
        <f>SUM(W100:W104)</f>
        <v>9271.73</v>
      </c>
      <c r="Y105" s="161">
        <f>SUM(Y100:Y104)</f>
        <v>1392.0700000000002</v>
      </c>
      <c r="AA105" s="161">
        <f>SUM(AA100:AA104)</f>
        <v>17494.349999999999</v>
      </c>
      <c r="AD105" s="908"/>
      <c r="AE105" s="908" t="s">
        <v>732</v>
      </c>
      <c r="AF105" s="910">
        <f>SUM(AF100:AF104)</f>
        <v>574545.46146999998</v>
      </c>
      <c r="AG105" s="826"/>
    </row>
    <row r="106" spans="1:33" x14ac:dyDescent="0.25">
      <c r="C106" s="2"/>
      <c r="D106" s="2"/>
    </row>
    <row r="107" spans="1:33" x14ac:dyDescent="0.25">
      <c r="C107" s="2"/>
      <c r="D107" s="2"/>
    </row>
    <row r="108" spans="1:33" ht="28.5" customHeight="1" x14ac:dyDescent="0.25">
      <c r="A108" s="2152" t="s">
        <v>135</v>
      </c>
      <c r="B108" s="2152"/>
      <c r="C108" s="3">
        <f>C97-C105</f>
        <v>-56175.311469999957</v>
      </c>
      <c r="D108" s="2"/>
      <c r="E108" s="1218">
        <f>E97-E105</f>
        <v>0</v>
      </c>
      <c r="F108" s="1217"/>
      <c r="G108" s="398">
        <f>G97-G105</f>
        <v>-8509.1399999999921</v>
      </c>
      <c r="H108" s="1217" t="s">
        <v>774</v>
      </c>
      <c r="I108" s="1206">
        <f>I97-I105</f>
        <v>47288.040000000008</v>
      </c>
      <c r="J108" s="1217" t="s">
        <v>774</v>
      </c>
      <c r="K108" s="3">
        <f>K97-K105</f>
        <v>7.9999999999990905</v>
      </c>
      <c r="L108" s="1217"/>
      <c r="M108" s="3">
        <f>M97-M105</f>
        <v>1399.12</v>
      </c>
      <c r="N108" s="1217" t="s">
        <v>774</v>
      </c>
      <c r="O108" s="3">
        <f>O97-O105</f>
        <v>3.9999999999940883</v>
      </c>
      <c r="P108" s="1217"/>
      <c r="Q108" s="3">
        <f>Q97-Q105</f>
        <v>15919.000000000002</v>
      </c>
      <c r="R108" s="1217" t="s">
        <v>774</v>
      </c>
      <c r="S108" s="486">
        <f>S97-S105</f>
        <v>21941.489999999994</v>
      </c>
      <c r="T108" s="1217" t="s">
        <v>774</v>
      </c>
      <c r="U108" s="3">
        <f>U97-U105</f>
        <v>6857.1300000000028</v>
      </c>
      <c r="V108" s="1217" t="s">
        <v>774</v>
      </c>
      <c r="W108" s="486">
        <f>W97-W105</f>
        <v>8493.0900000000074</v>
      </c>
      <c r="X108" s="1217" t="s">
        <v>774</v>
      </c>
      <c r="Y108" s="3">
        <f>Y97-Y105</f>
        <v>1980.3499999999981</v>
      </c>
      <c r="Z108" s="1217" t="s">
        <v>774</v>
      </c>
      <c r="AA108" s="3">
        <f>AA97-AA105</f>
        <v>5053.7200000000012</v>
      </c>
      <c r="AB108" s="1217" t="s">
        <v>774</v>
      </c>
      <c r="AD108" s="2153" t="s">
        <v>135</v>
      </c>
      <c r="AE108" s="2153"/>
      <c r="AF108" s="911">
        <f>AF97-AF105</f>
        <v>44259.488529999508</v>
      </c>
      <c r="AG108" s="1149">
        <f>SUM(C108,E108,G108,I108,K108,M108,O108,Q108,S108,U108,W108,Y108,AA108)</f>
        <v>44259.488530000053</v>
      </c>
    </row>
    <row r="109" spans="1:33" ht="10.5" customHeight="1" x14ac:dyDescent="0.25">
      <c r="A109" s="1232"/>
      <c r="B109" s="1232"/>
      <c r="D109" s="2"/>
      <c r="E109" s="398"/>
      <c r="F109" s="108"/>
      <c r="G109" s="398"/>
      <c r="H109" s="108"/>
      <c r="I109" s="1206"/>
      <c r="J109" s="108"/>
      <c r="K109" s="3"/>
      <c r="M109" s="3"/>
      <c r="O109" s="3"/>
      <c r="Q109" s="3"/>
      <c r="S109" s="486"/>
      <c r="U109" s="3"/>
      <c r="W109" s="486"/>
      <c r="Y109" s="3"/>
      <c r="AA109" s="3"/>
      <c r="AD109" s="1233"/>
      <c r="AE109" s="1233"/>
      <c r="AF109" s="911"/>
      <c r="AG109" s="1149">
        <f>AF108-AG108</f>
        <v>-5.4569682106375694E-10</v>
      </c>
    </row>
    <row r="110" spans="1:33" s="108" customFormat="1" x14ac:dyDescent="0.25">
      <c r="A110" s="399"/>
      <c r="B110" s="399"/>
      <c r="C110" s="398"/>
      <c r="D110" s="400"/>
      <c r="E110" s="398">
        <v>0</v>
      </c>
      <c r="G110" s="398">
        <v>1490.86</v>
      </c>
      <c r="H110" s="108" t="s">
        <v>25</v>
      </c>
      <c r="I110" s="492">
        <v>25241</v>
      </c>
      <c r="J110" s="108" t="s">
        <v>25</v>
      </c>
      <c r="K110" s="398"/>
      <c r="M110" s="492">
        <v>584.55999999999995</v>
      </c>
      <c r="N110" s="108" t="s">
        <v>25</v>
      </c>
      <c r="O110" s="492">
        <v>0</v>
      </c>
      <c r="P110" s="108" t="s">
        <v>25</v>
      </c>
      <c r="Q110" s="398">
        <v>7721.11</v>
      </c>
      <c r="R110" s="108" t="s">
        <v>775</v>
      </c>
      <c r="S110" s="1225">
        <v>12502.24</v>
      </c>
      <c r="T110" s="108" t="s">
        <v>25</v>
      </c>
      <c r="U110" s="1225">
        <v>2915.06</v>
      </c>
      <c r="V110" s="108" t="s">
        <v>25</v>
      </c>
      <c r="W110" s="1225">
        <v>5105.3100000000004</v>
      </c>
      <c r="X110" s="108" t="s">
        <v>25</v>
      </c>
      <c r="Y110" s="1225">
        <v>128.09</v>
      </c>
      <c r="Z110" s="108" t="s">
        <v>25</v>
      </c>
      <c r="AA110" s="1225">
        <v>1760.35</v>
      </c>
      <c r="AB110" s="108" t="s">
        <v>25</v>
      </c>
      <c r="AD110" s="912"/>
      <c r="AE110" s="1150" t="s">
        <v>746</v>
      </c>
      <c r="AF110" s="1151">
        <f>SUM(E108:AA108)</f>
        <v>100434.80000000002</v>
      </c>
    </row>
    <row r="111" spans="1:33" x14ac:dyDescent="0.25">
      <c r="A111" s="1232"/>
      <c r="B111" s="1232"/>
      <c r="C111" s="2"/>
      <c r="D111" s="2"/>
      <c r="E111" s="2">
        <v>0</v>
      </c>
      <c r="G111" s="2">
        <v>0</v>
      </c>
      <c r="I111" s="492">
        <v>22047.040000000001</v>
      </c>
      <c r="J111" s="2" t="s">
        <v>782</v>
      </c>
      <c r="M111" s="492">
        <v>814.56</v>
      </c>
      <c r="N111" s="2" t="s">
        <v>782</v>
      </c>
      <c r="O111" s="492">
        <v>0</v>
      </c>
      <c r="P111" s="2" t="s">
        <v>782</v>
      </c>
      <c r="Q111" s="2">
        <v>8197.89</v>
      </c>
      <c r="R111" s="2" t="s">
        <v>796</v>
      </c>
      <c r="S111" s="492">
        <v>9439.25</v>
      </c>
      <c r="T111" s="2" t="s">
        <v>801</v>
      </c>
      <c r="U111" s="492">
        <v>3942.07</v>
      </c>
      <c r="V111" s="2" t="s">
        <v>801</v>
      </c>
      <c r="W111" s="492">
        <v>3387.78</v>
      </c>
      <c r="X111" s="2" t="s">
        <v>801</v>
      </c>
      <c r="Y111" s="492">
        <v>1852.26</v>
      </c>
      <c r="Z111" s="2" t="s">
        <v>801</v>
      </c>
      <c r="AA111" s="492">
        <v>3293.37</v>
      </c>
      <c r="AB111" s="2" t="s">
        <v>801</v>
      </c>
      <c r="AD111" s="1233"/>
      <c r="AE111" s="1152" t="s">
        <v>57</v>
      </c>
      <c r="AF111" s="1153">
        <f>+C108</f>
        <v>-56175.311469999957</v>
      </c>
      <c r="AG111" s="2">
        <f>+AF110+AF111</f>
        <v>44259.488530000061</v>
      </c>
    </row>
    <row r="112" spans="1:33" x14ac:dyDescent="0.25">
      <c r="A112" s="1232"/>
      <c r="B112" s="1232"/>
      <c r="C112" s="2"/>
      <c r="D112" s="2"/>
      <c r="E112" s="112">
        <f>+E110+E111</f>
        <v>0</v>
      </c>
      <c r="G112" s="112">
        <f>+G110+G111</f>
        <v>1490.86</v>
      </c>
      <c r="I112" s="1219">
        <f>+I110+I111</f>
        <v>47288.04</v>
      </c>
      <c r="M112" s="1219">
        <f>+M110+M111</f>
        <v>1399.12</v>
      </c>
      <c r="O112" s="1219">
        <f>+O110+O111</f>
        <v>0</v>
      </c>
      <c r="Q112" s="112">
        <f>+Q110+Q111</f>
        <v>15919</v>
      </c>
      <c r="S112" s="112">
        <f>+S110+S111</f>
        <v>21941.489999999998</v>
      </c>
      <c r="U112" s="112">
        <f>+U110+U111</f>
        <v>6857.13</v>
      </c>
      <c r="W112" s="112">
        <f>+W110+W111</f>
        <v>8493.09</v>
      </c>
      <c r="Y112" s="112">
        <f>+Y110+Y111</f>
        <v>1980.35</v>
      </c>
      <c r="AA112" s="112">
        <f>+AA110+AA111</f>
        <v>5053.7199999999993</v>
      </c>
      <c r="AD112" s="1233"/>
      <c r="AE112" s="1211"/>
      <c r="AF112" s="1212"/>
    </row>
    <row r="113" spans="1:32" x14ac:dyDescent="0.25">
      <c r="A113" s="1232"/>
      <c r="B113" s="1232"/>
      <c r="C113" s="2"/>
      <c r="D113" s="2"/>
      <c r="Q113" s="2">
        <f>+Q108-Q112</f>
        <v>0</v>
      </c>
      <c r="S113" s="2">
        <f>+S108-S112</f>
        <v>0</v>
      </c>
      <c r="U113" s="2">
        <f>+U108-U112</f>
        <v>0</v>
      </c>
      <c r="W113" s="2">
        <f>+W108-W112</f>
        <v>0</v>
      </c>
      <c r="Y113" s="2">
        <f>+Y108-Y112</f>
        <v>-1.8189894035458565E-12</v>
      </c>
      <c r="AA113" s="2">
        <f>+AA108-AA112</f>
        <v>0</v>
      </c>
      <c r="AD113" s="1233"/>
      <c r="AE113" s="1211"/>
      <c r="AF113" s="145">
        <f>+AF110+AF111</f>
        <v>44259.488530000061</v>
      </c>
    </row>
    <row r="114" spans="1:32" s="107" customFormat="1" x14ac:dyDescent="0.25">
      <c r="A114" s="1213"/>
      <c r="B114" s="1213"/>
      <c r="I114" s="1202"/>
      <c r="S114" s="1202"/>
      <c r="W114" s="1202"/>
      <c r="AC114" s="395"/>
      <c r="AD114" s="1214"/>
      <c r="AE114" s="1214"/>
      <c r="AF114" s="1215"/>
    </row>
    <row r="115" spans="1:32" x14ac:dyDescent="0.25">
      <c r="A115" s="1232"/>
      <c r="B115" s="1232"/>
      <c r="C115" s="2"/>
      <c r="D115" s="2"/>
      <c r="AD115" s="1233"/>
      <c r="AE115" s="1211"/>
      <c r="AF115" s="1212"/>
    </row>
    <row r="116" spans="1:32" x14ac:dyDescent="0.25">
      <c r="A116" s="1232"/>
      <c r="B116" s="1232"/>
      <c r="C116" s="2"/>
      <c r="D116" s="2"/>
      <c r="G116" s="1216" t="s">
        <v>191</v>
      </c>
      <c r="K116" s="1216" t="s">
        <v>191</v>
      </c>
      <c r="O116" s="1216" t="s">
        <v>191</v>
      </c>
      <c r="Q116" s="1216" t="s">
        <v>191</v>
      </c>
      <c r="AD116" s="1233"/>
      <c r="AE116" s="1211"/>
      <c r="AF116" s="1212"/>
    </row>
    <row r="117" spans="1:32" x14ac:dyDescent="0.25">
      <c r="A117" s="1232"/>
      <c r="B117" s="1232"/>
      <c r="C117" s="2"/>
      <c r="D117" s="2"/>
      <c r="G117" s="2">
        <v>39000</v>
      </c>
      <c r="H117" s="2" t="s">
        <v>183</v>
      </c>
      <c r="K117" s="2">
        <v>39000</v>
      </c>
      <c r="L117" s="2" t="s">
        <v>183</v>
      </c>
      <c r="O117" s="2">
        <v>39000</v>
      </c>
      <c r="P117" s="2" t="s">
        <v>183</v>
      </c>
      <c r="Q117" s="2">
        <v>39000</v>
      </c>
      <c r="R117" s="2" t="s">
        <v>183</v>
      </c>
      <c r="AD117" s="1233"/>
      <c r="AE117" s="1211"/>
      <c r="AF117" s="1212"/>
    </row>
    <row r="118" spans="1:32" x14ac:dyDescent="0.25">
      <c r="A118" s="1232"/>
      <c r="B118" s="1232"/>
      <c r="C118" s="2"/>
      <c r="D118" s="2"/>
      <c r="AD118" s="1233"/>
      <c r="AE118" s="1211"/>
      <c r="AF118" s="1212"/>
    </row>
    <row r="119" spans="1:32" x14ac:dyDescent="0.25">
      <c r="A119" s="1232"/>
      <c r="B119" s="1232"/>
      <c r="C119" s="2"/>
      <c r="D119" s="2"/>
      <c r="G119" s="10" t="str">
        <f>"Actuals/Encumb. as of "&amp;TEXT($C$17,"mm/dd/yyyy")</f>
        <v>Actuals/Encumb. as of 01/00/1900</v>
      </c>
      <c r="K119" s="10" t="str">
        <f>"Actuals/Encumb. as of "&amp;TEXT($C$17,"mm/dd/yyyy")</f>
        <v>Actuals/Encumb. as of 01/00/1900</v>
      </c>
      <c r="O119" s="10" t="str">
        <f>"Actuals/Encumb. as of "&amp;TEXT($C$17,"mm/dd/yyyy")</f>
        <v>Actuals/Encumb. as of 01/00/1900</v>
      </c>
      <c r="Q119" s="10" t="str">
        <f>"Actuals/Encumb. as of "&amp;TEXT($C$17,"mm/dd/yyyy")</f>
        <v>Actuals/Encumb. as of 01/00/1900</v>
      </c>
      <c r="AD119" s="1233"/>
      <c r="AE119" s="1211"/>
      <c r="AF119" s="1212"/>
    </row>
    <row r="120" spans="1:32" x14ac:dyDescent="0.25">
      <c r="A120" s="1232"/>
      <c r="B120" s="1232"/>
      <c r="C120" s="2"/>
      <c r="D120" s="2"/>
      <c r="G120" s="2">
        <v>4296.8500000000004</v>
      </c>
      <c r="H120" s="2" t="s">
        <v>558</v>
      </c>
      <c r="K120" s="2">
        <v>2712.18</v>
      </c>
      <c r="L120" s="2" t="s">
        <v>558</v>
      </c>
      <c r="O120" s="2">
        <v>0</v>
      </c>
      <c r="P120" s="2" t="s">
        <v>558</v>
      </c>
      <c r="Q120" s="2">
        <v>162.53</v>
      </c>
      <c r="R120" s="2" t="s">
        <v>558</v>
      </c>
      <c r="AD120" s="1233"/>
      <c r="AE120" s="1211"/>
      <c r="AF120" s="1212"/>
    </row>
    <row r="121" spans="1:32" x14ac:dyDescent="0.25">
      <c r="A121" s="1232"/>
      <c r="B121" s="1232"/>
      <c r="C121" s="2"/>
      <c r="D121" s="2"/>
      <c r="G121" s="2">
        <v>81.89</v>
      </c>
      <c r="H121" s="2" t="s">
        <v>35</v>
      </c>
      <c r="K121" s="2">
        <v>0</v>
      </c>
      <c r="L121" s="2" t="s">
        <v>35</v>
      </c>
      <c r="O121" s="2">
        <v>0</v>
      </c>
      <c r="P121" s="2" t="s">
        <v>35</v>
      </c>
      <c r="Q121" s="2">
        <v>0</v>
      </c>
      <c r="R121" s="2" t="s">
        <v>35</v>
      </c>
      <c r="AD121" s="1233"/>
      <c r="AE121" s="1211"/>
      <c r="AF121" s="1212"/>
    </row>
    <row r="122" spans="1:32" x14ac:dyDescent="0.25">
      <c r="A122" s="1232"/>
      <c r="B122" s="1232"/>
      <c r="C122" s="2"/>
      <c r="D122" s="2"/>
      <c r="G122" s="2">
        <v>670.91</v>
      </c>
      <c r="H122" s="2" t="s">
        <v>27</v>
      </c>
      <c r="K122" s="2">
        <v>411.72</v>
      </c>
      <c r="L122" s="2" t="s">
        <v>27</v>
      </c>
      <c r="O122" s="2">
        <v>36973.58</v>
      </c>
      <c r="P122" s="2" t="s">
        <v>779</v>
      </c>
      <c r="Q122" s="2">
        <v>24.68</v>
      </c>
      <c r="R122" s="2" t="s">
        <v>27</v>
      </c>
      <c r="AD122" s="1233"/>
      <c r="AE122" s="1211"/>
      <c r="AF122" s="1212"/>
    </row>
    <row r="123" spans="1:32" x14ac:dyDescent="0.25">
      <c r="A123" s="1232"/>
      <c r="B123" s="1232"/>
      <c r="C123" s="2"/>
      <c r="D123" s="2"/>
      <c r="G123" s="2">
        <v>29294.13</v>
      </c>
      <c r="H123" s="2" t="s">
        <v>779</v>
      </c>
      <c r="K123" s="2">
        <v>30195.96</v>
      </c>
      <c r="L123" s="2" t="s">
        <v>779</v>
      </c>
      <c r="O123" s="2">
        <v>483.19</v>
      </c>
      <c r="P123" s="2" t="s">
        <v>4</v>
      </c>
      <c r="Q123" s="2">
        <f>22845.31+9038.7</f>
        <v>31884.010000000002</v>
      </c>
      <c r="R123" s="2" t="s">
        <v>779</v>
      </c>
      <c r="AD123" s="1233"/>
      <c r="AE123" s="1211"/>
      <c r="AF123" s="1212"/>
    </row>
    <row r="124" spans="1:32" x14ac:dyDescent="0.25">
      <c r="A124" s="1232"/>
      <c r="B124" s="1232"/>
      <c r="C124" s="2"/>
      <c r="D124" s="2"/>
      <c r="G124" s="112">
        <f>SUM(G120:G123)</f>
        <v>34343.78</v>
      </c>
      <c r="K124" s="112">
        <f>SUM(K120:K123)</f>
        <v>33319.86</v>
      </c>
      <c r="O124" s="112">
        <f>SUM(O120:O123)</f>
        <v>37456.770000000004</v>
      </c>
      <c r="Q124" s="112">
        <f>SUM(Q120:Q123)</f>
        <v>32071.22</v>
      </c>
      <c r="AD124" s="1233"/>
      <c r="AE124" s="1211"/>
      <c r="AF124" s="1212"/>
    </row>
    <row r="125" spans="1:32" x14ac:dyDescent="0.25">
      <c r="A125" s="1232"/>
      <c r="B125" s="1232"/>
      <c r="C125" s="2"/>
      <c r="D125" s="2"/>
      <c r="AD125" s="1233"/>
      <c r="AE125" s="1211"/>
      <c r="AF125" s="1212"/>
    </row>
    <row r="126" spans="1:32" x14ac:dyDescent="0.25">
      <c r="A126" s="1232"/>
      <c r="B126" s="1232"/>
      <c r="C126" s="2"/>
      <c r="D126" s="2"/>
      <c r="G126" s="1222">
        <f>+G117-G124</f>
        <v>4656.2200000000012</v>
      </c>
      <c r="H126" s="1222" t="s">
        <v>790</v>
      </c>
      <c r="K126" s="1222">
        <f>+K117-K124</f>
        <v>5680.1399999999994</v>
      </c>
      <c r="L126" s="1222" t="s">
        <v>790</v>
      </c>
      <c r="O126" s="1222">
        <f>+O117-O124</f>
        <v>1543.2299999999959</v>
      </c>
      <c r="P126" s="1222" t="s">
        <v>790</v>
      </c>
      <c r="Q126" s="1222">
        <f>+Q117-Q124</f>
        <v>6928.7799999999988</v>
      </c>
      <c r="R126" s="1222" t="s">
        <v>797</v>
      </c>
      <c r="AD126" s="1233"/>
      <c r="AE126" s="1211"/>
      <c r="AF126" s="1212"/>
    </row>
    <row r="127" spans="1:32" x14ac:dyDescent="0.25">
      <c r="A127" s="1232"/>
      <c r="B127" s="1232"/>
      <c r="C127" s="2"/>
      <c r="D127" s="2"/>
      <c r="G127" s="2">
        <f>+G126-G103-G104</f>
        <v>9.0949470177292824E-13</v>
      </c>
      <c r="K127" s="2">
        <f>+K126-K103-K104</f>
        <v>0</v>
      </c>
      <c r="O127" s="2">
        <f>+O126-O100-O101</f>
        <v>107.22999999999593</v>
      </c>
      <c r="P127" s="1220" t="s">
        <v>785</v>
      </c>
      <c r="Q127" s="2">
        <f>+Q126-Q103-Q104</f>
        <v>0</v>
      </c>
      <c r="AD127" s="1233"/>
      <c r="AE127" s="1211"/>
      <c r="AF127" s="1212"/>
    </row>
    <row r="128" spans="1:32" x14ac:dyDescent="0.25">
      <c r="A128" s="1232"/>
      <c r="B128" s="1232"/>
      <c r="C128" s="2"/>
      <c r="D128" s="2"/>
      <c r="AD128" s="1233"/>
      <c r="AE128" s="1211"/>
      <c r="AF128" s="1212"/>
    </row>
    <row r="129" spans="1:32" s="107" customFormat="1" x14ac:dyDescent="0.25">
      <c r="A129" s="1213"/>
      <c r="B129" s="1213"/>
      <c r="I129" s="1202"/>
      <c r="S129" s="1202"/>
      <c r="W129" s="1202"/>
      <c r="AC129" s="395"/>
      <c r="AD129" s="1214"/>
      <c r="AE129" s="1214"/>
      <c r="AF129" s="1215"/>
    </row>
    <row r="130" spans="1:32" x14ac:dyDescent="0.25">
      <c r="A130" s="1232"/>
      <c r="B130" s="1232"/>
      <c r="C130" s="2"/>
      <c r="D130" s="2"/>
      <c r="AD130" s="1233"/>
      <c r="AE130" s="1211"/>
      <c r="AF130" s="1212"/>
    </row>
    <row r="131" spans="1:32" ht="17.25" x14ac:dyDescent="0.4">
      <c r="C131" s="401" t="str">
        <f>+C19</f>
        <v>200 - DO</v>
      </c>
      <c r="D131" s="2"/>
      <c r="G131" s="401" t="str">
        <f>+G19</f>
        <v>020 - SH</v>
      </c>
      <c r="H131" s="2" t="s">
        <v>197</v>
      </c>
      <c r="K131" s="401" t="str">
        <f>+K19</f>
        <v>040 - ST</v>
      </c>
      <c r="L131" s="2" t="s">
        <v>194</v>
      </c>
      <c r="M131" s="402"/>
      <c r="N131" s="36"/>
      <c r="O131" s="401" t="str">
        <f>+O19</f>
        <v>060 - SY</v>
      </c>
      <c r="P131" s="2" t="s">
        <v>195</v>
      </c>
      <c r="Q131" s="401" t="str">
        <f>+Q19</f>
        <v>070 - WO</v>
      </c>
      <c r="R131" s="2" t="s">
        <v>196</v>
      </c>
      <c r="AD131" s="906"/>
      <c r="AE131" s="907"/>
    </row>
    <row r="132" spans="1:32" x14ac:dyDescent="0.25">
      <c r="C132" s="2">
        <v>10000</v>
      </c>
      <c r="D132" s="30" t="s">
        <v>203</v>
      </c>
      <c r="G132" s="10" t="s">
        <v>191</v>
      </c>
      <c r="K132" s="10" t="s">
        <v>191</v>
      </c>
      <c r="M132" s="6"/>
      <c r="N132" s="36"/>
      <c r="O132" s="10" t="s">
        <v>191</v>
      </c>
      <c r="Q132" s="10" t="s">
        <v>191</v>
      </c>
      <c r="AE132" s="10"/>
    </row>
    <row r="133" spans="1:32" x14ac:dyDescent="0.25">
      <c r="C133" s="108">
        <f>ROUND(+C132*(LEFT('MYP Assumptions'!$D$52,6)),0)</f>
        <v>1258</v>
      </c>
      <c r="D133" s="108" t="s">
        <v>76</v>
      </c>
      <c r="G133" s="2">
        <v>39000</v>
      </c>
      <c r="H133" s="2" t="s">
        <v>183</v>
      </c>
      <c r="K133" s="2">
        <v>39000</v>
      </c>
      <c r="L133" s="2" t="s">
        <v>183</v>
      </c>
      <c r="M133" s="36"/>
      <c r="N133" s="36"/>
      <c r="O133" s="2">
        <v>39000</v>
      </c>
      <c r="P133" s="2" t="s">
        <v>183</v>
      </c>
      <c r="Q133" s="2">
        <v>39000</v>
      </c>
      <c r="R133" s="2" t="s">
        <v>183</v>
      </c>
      <c r="AE133" s="10"/>
    </row>
    <row r="134" spans="1:32" x14ac:dyDescent="0.25">
      <c r="C134" s="108">
        <f>ROUND(+C132*(LEFT('MYP Assumptions'!$D$55,6)),0)</f>
        <v>145</v>
      </c>
      <c r="D134" s="108" t="s">
        <v>79</v>
      </c>
      <c r="M134" s="36"/>
      <c r="N134" s="36"/>
      <c r="AE134" s="10"/>
    </row>
    <row r="135" spans="1:32" x14ac:dyDescent="0.25">
      <c r="C135" s="108">
        <f>ROUND(+C132*(LEFT('MYP Assumptions'!$D$56,6)),0)</f>
        <v>5</v>
      </c>
      <c r="D135" s="108" t="s">
        <v>81</v>
      </c>
      <c r="G135" s="2">
        <v>20000</v>
      </c>
      <c r="H135" s="2" t="s">
        <v>184</v>
      </c>
      <c r="K135" s="2">
        <v>25000</v>
      </c>
      <c r="L135" s="2" t="s">
        <v>184</v>
      </c>
      <c r="M135" s="36"/>
      <c r="N135" s="36"/>
      <c r="O135" s="2">
        <v>30000</v>
      </c>
      <c r="P135" s="2" t="s">
        <v>184</v>
      </c>
      <c r="Q135" s="2">
        <v>19272</v>
      </c>
      <c r="R135" s="2" t="s">
        <v>184</v>
      </c>
      <c r="AE135" s="10"/>
    </row>
    <row r="136" spans="1:32" x14ac:dyDescent="0.25">
      <c r="C136" s="108">
        <f>+C132*(LEFT('MYP Assumptions'!$D$57,5))</f>
        <v>110</v>
      </c>
      <c r="D136" s="108" t="s">
        <v>82</v>
      </c>
      <c r="G136" s="2">
        <v>3500</v>
      </c>
      <c r="H136" s="2" t="s">
        <v>185</v>
      </c>
      <c r="K136" s="2">
        <v>4794</v>
      </c>
      <c r="L136" s="2" t="s">
        <v>185</v>
      </c>
      <c r="M136" s="36"/>
      <c r="N136" s="36"/>
      <c r="O136" s="2">
        <v>4397</v>
      </c>
      <c r="P136" s="2" t="s">
        <v>185</v>
      </c>
      <c r="Q136" s="2">
        <v>3147</v>
      </c>
      <c r="R136" s="2" t="s">
        <v>185</v>
      </c>
      <c r="AE136" s="10"/>
    </row>
    <row r="137" spans="1:32" x14ac:dyDescent="0.25">
      <c r="C137" s="112">
        <f>SUM(C132:C136)</f>
        <v>11518</v>
      </c>
      <c r="D137" s="2"/>
      <c r="M137" s="36"/>
      <c r="N137" s="36"/>
      <c r="AE137" s="10"/>
    </row>
    <row r="138" spans="1:32" x14ac:dyDescent="0.25">
      <c r="C138" s="2"/>
      <c r="D138" s="2"/>
      <c r="G138" s="2">
        <v>10000</v>
      </c>
      <c r="H138" s="2" t="s">
        <v>192</v>
      </c>
      <c r="K138" s="2">
        <v>8000</v>
      </c>
      <c r="L138" s="2" t="s">
        <v>193</v>
      </c>
      <c r="M138" s="36"/>
      <c r="N138" s="36"/>
      <c r="O138" s="2">
        <v>4000</v>
      </c>
      <c r="P138" s="2" t="s">
        <v>193</v>
      </c>
      <c r="Q138" s="2">
        <v>3000</v>
      </c>
      <c r="R138" s="2" t="s">
        <v>198</v>
      </c>
      <c r="AE138" s="10"/>
    </row>
    <row r="139" spans="1:32" x14ac:dyDescent="0.25">
      <c r="C139" s="2"/>
      <c r="D139" s="2"/>
      <c r="G139" s="108">
        <f>ROUND(+G138*(LEFT('MYP Assumptions'!$D$52,6)),0)</f>
        <v>1258</v>
      </c>
      <c r="H139" s="108" t="s">
        <v>76</v>
      </c>
      <c r="K139" s="108">
        <f>ROUND(+K138*(LEFT('MYP Assumptions'!$D$52,6)),0)</f>
        <v>1006</v>
      </c>
      <c r="L139" s="2" t="s">
        <v>76</v>
      </c>
      <c r="M139" s="36"/>
      <c r="N139" s="36"/>
      <c r="O139" s="108">
        <f>ROUND(+O138*(LEFT('MYP Assumptions'!$D$52,6)),0)</f>
        <v>503</v>
      </c>
      <c r="P139" s="2" t="s">
        <v>76</v>
      </c>
      <c r="Q139" s="108">
        <f>ROUND(+Q138*(LEFT('MYP Assumptions'!$D$52,6)),0)</f>
        <v>377</v>
      </c>
      <c r="R139" s="2" t="s">
        <v>76</v>
      </c>
    </row>
    <row r="140" spans="1:32" x14ac:dyDescent="0.25">
      <c r="C140" s="2"/>
      <c r="D140" s="2"/>
      <c r="G140" s="108">
        <f>ROUND(+G138*(LEFT('MYP Assumptions'!$D$55,6)),0)</f>
        <v>145</v>
      </c>
      <c r="H140" s="108" t="s">
        <v>79</v>
      </c>
      <c r="K140" s="108">
        <f>ROUND(+K138*(LEFT('MYP Assumptions'!$D$55,6)),0)</f>
        <v>116</v>
      </c>
      <c r="L140" s="2" t="s">
        <v>79</v>
      </c>
      <c r="M140" s="36"/>
      <c r="N140" s="36"/>
      <c r="O140" s="108">
        <f>ROUND(+O138*(LEFT('MYP Assumptions'!$D$55,6)),0)</f>
        <v>58</v>
      </c>
      <c r="P140" s="2" t="s">
        <v>79</v>
      </c>
      <c r="Q140" s="108">
        <f>ROUND(+Q138*(LEFT('MYP Assumptions'!$D$55,6)),0)</f>
        <v>44</v>
      </c>
      <c r="R140" s="2" t="s">
        <v>79</v>
      </c>
    </row>
    <row r="141" spans="1:32" x14ac:dyDescent="0.25">
      <c r="C141" s="2"/>
      <c r="D141" s="2"/>
      <c r="G141" s="108">
        <f>ROUND(+G138*(LEFT('MYP Assumptions'!$D$56,6)),0)</f>
        <v>5</v>
      </c>
      <c r="H141" s="108" t="s">
        <v>81</v>
      </c>
      <c r="K141" s="108">
        <f>ROUND(+K138*(LEFT('MYP Assumptions'!$D$56,6)),0)</f>
        <v>4</v>
      </c>
      <c r="L141" s="2" t="s">
        <v>81</v>
      </c>
      <c r="M141" s="36"/>
      <c r="N141" s="36"/>
      <c r="O141" s="108">
        <f>ROUND(+O138*(LEFT('MYP Assumptions'!$D$56,6)),0)</f>
        <v>2</v>
      </c>
      <c r="P141" s="2" t="s">
        <v>81</v>
      </c>
      <c r="Q141" s="108">
        <f>ROUND(+Q138*(LEFT('MYP Assumptions'!$D$56,6)),0)</f>
        <v>2</v>
      </c>
      <c r="R141" s="2" t="s">
        <v>81</v>
      </c>
    </row>
    <row r="142" spans="1:32" x14ac:dyDescent="0.25">
      <c r="C142" s="2"/>
      <c r="D142" s="2"/>
      <c r="G142" s="108">
        <f>+G138*(LEFT('MYP Assumptions'!$D$57,5))</f>
        <v>110</v>
      </c>
      <c r="H142" s="108" t="s">
        <v>82</v>
      </c>
      <c r="K142" s="108">
        <f>+K138*(LEFT('MYP Assumptions'!$D$57,5))</f>
        <v>88</v>
      </c>
      <c r="L142" s="2" t="s">
        <v>82</v>
      </c>
      <c r="M142" s="36"/>
      <c r="N142" s="36"/>
      <c r="O142" s="108">
        <f>+O138*(LEFT('MYP Assumptions'!$D$57,5))</f>
        <v>44</v>
      </c>
      <c r="P142" s="2" t="s">
        <v>82</v>
      </c>
      <c r="Q142" s="108">
        <f>+Q138*(LEFT('MYP Assumptions'!$D$57,5))</f>
        <v>33</v>
      </c>
      <c r="R142" s="2" t="s">
        <v>82</v>
      </c>
    </row>
    <row r="143" spans="1:32" x14ac:dyDescent="0.25">
      <c r="M143" s="36"/>
      <c r="N143" s="36"/>
      <c r="Q143" s="2">
        <v>3000</v>
      </c>
      <c r="R143" s="2" t="s">
        <v>186</v>
      </c>
    </row>
    <row r="144" spans="1:32" x14ac:dyDescent="0.25">
      <c r="G144" s="2">
        <v>2000</v>
      </c>
      <c r="H144" s="2" t="s">
        <v>199</v>
      </c>
      <c r="K144" s="2">
        <v>0</v>
      </c>
      <c r="L144" s="2" t="s">
        <v>200</v>
      </c>
      <c r="M144" s="36"/>
      <c r="N144" s="36"/>
      <c r="O144" s="2">
        <v>0</v>
      </c>
      <c r="P144" s="2" t="s">
        <v>200</v>
      </c>
      <c r="Q144" s="2">
        <v>0</v>
      </c>
      <c r="R144" s="2" t="s">
        <v>200</v>
      </c>
    </row>
    <row r="145" spans="7:18" x14ac:dyDescent="0.25">
      <c r="G145" s="108">
        <f>ROUND(+G144*(LEFT('MYP Assumptions'!$D$53,6)),0)</f>
        <v>278</v>
      </c>
      <c r="H145" s="2" t="s">
        <v>77</v>
      </c>
      <c r="K145" s="108">
        <f>ROUND(+K144*(LEFT('MYP Assumptions'!$D$53,6)),0)</f>
        <v>0</v>
      </c>
      <c r="L145" s="2" t="s">
        <v>77</v>
      </c>
      <c r="M145" s="36"/>
      <c r="N145" s="36"/>
      <c r="O145" s="108">
        <f>ROUND(+O144*(LEFT('MYP Assumptions'!$D$53,6)),0)</f>
        <v>0</v>
      </c>
      <c r="P145" s="2" t="s">
        <v>77</v>
      </c>
      <c r="Q145" s="108">
        <f>ROUND(+Q144*(LEFT('MYP Assumptions'!$D$53,6)),0)</f>
        <v>0</v>
      </c>
      <c r="R145" s="2" t="s">
        <v>77</v>
      </c>
    </row>
    <row r="146" spans="7:18" x14ac:dyDescent="0.25">
      <c r="G146" s="108">
        <f>ROUND(+G144*(LEFT('MYP Assumptions'!$D$54,6)),0)</f>
        <v>124</v>
      </c>
      <c r="H146" s="2" t="s">
        <v>78</v>
      </c>
      <c r="K146" s="108">
        <f>ROUND(+K144*(LEFT('MYP Assumptions'!$D$54,6)),0)</f>
        <v>0</v>
      </c>
      <c r="L146" s="2" t="s">
        <v>78</v>
      </c>
      <c r="M146" s="36"/>
      <c r="N146" s="36"/>
      <c r="O146" s="108">
        <f>ROUND(+O144*(LEFT('MYP Assumptions'!$D$54,6)),0)</f>
        <v>0</v>
      </c>
      <c r="P146" s="2" t="s">
        <v>78</v>
      </c>
      <c r="Q146" s="108">
        <f>ROUND(+Q144*(LEFT('MYP Assumptions'!$D$54,6)),0)</f>
        <v>0</v>
      </c>
      <c r="R146" s="2" t="s">
        <v>78</v>
      </c>
    </row>
    <row r="147" spans="7:18" x14ac:dyDescent="0.25">
      <c r="G147" s="108">
        <f>ROUND(+G144*(LEFT('MYP Assumptions'!$D$55,6)),0)</f>
        <v>29</v>
      </c>
      <c r="H147" s="108" t="s">
        <v>79</v>
      </c>
      <c r="K147" s="108">
        <f>ROUND(+K144*(LEFT('MYP Assumptions'!$D$55,6)),0)</f>
        <v>0</v>
      </c>
      <c r="L147" s="108" t="s">
        <v>79</v>
      </c>
      <c r="M147" s="36"/>
      <c r="N147" s="36"/>
      <c r="O147" s="108">
        <f>ROUND(+O144*(LEFT('MYP Assumptions'!$D$55,6)),0)</f>
        <v>0</v>
      </c>
      <c r="P147" s="108" t="s">
        <v>79</v>
      </c>
      <c r="Q147" s="108">
        <f>ROUND(+Q144*(LEFT('MYP Assumptions'!$D$55,6)),0)</f>
        <v>0</v>
      </c>
      <c r="R147" s="108" t="s">
        <v>79</v>
      </c>
    </row>
    <row r="148" spans="7:18" x14ac:dyDescent="0.25">
      <c r="G148" s="108">
        <f>ROUND(+G144*(LEFT('MYP Assumptions'!$D$56,6)),0)</f>
        <v>1</v>
      </c>
      <c r="H148" s="108" t="s">
        <v>81</v>
      </c>
      <c r="K148" s="108">
        <f>ROUND(+K144*(LEFT('MYP Assumptions'!$D$56,6)),0)</f>
        <v>0</v>
      </c>
      <c r="L148" s="108" t="s">
        <v>81</v>
      </c>
      <c r="M148" s="36"/>
      <c r="N148" s="36"/>
      <c r="O148" s="108">
        <f>ROUND(+O144*(LEFT('MYP Assumptions'!$D$56,6)),0)</f>
        <v>0</v>
      </c>
      <c r="P148" s="108" t="s">
        <v>81</v>
      </c>
      <c r="Q148" s="108">
        <f>ROUND(+Q144*(LEFT('MYP Assumptions'!$D$56,6)),0)</f>
        <v>0</v>
      </c>
      <c r="R148" s="108" t="s">
        <v>81</v>
      </c>
    </row>
    <row r="149" spans="7:18" x14ac:dyDescent="0.25">
      <c r="G149" s="108">
        <f>+G144*(LEFT('MYP Assumptions'!$D$57,5))</f>
        <v>22</v>
      </c>
      <c r="H149" s="108" t="s">
        <v>82</v>
      </c>
      <c r="K149" s="108">
        <f>+K144*(LEFT('MYP Assumptions'!$D$57,5))</f>
        <v>0</v>
      </c>
      <c r="L149" s="108" t="s">
        <v>82</v>
      </c>
      <c r="M149" s="36"/>
      <c r="N149" s="36"/>
      <c r="O149" s="108">
        <f>+O144*(LEFT('MYP Assumptions'!$D$57,5))</f>
        <v>0</v>
      </c>
      <c r="P149" s="108" t="s">
        <v>82</v>
      </c>
      <c r="Q149" s="108">
        <f>+Q144*(LEFT('MYP Assumptions'!$D$57,5))</f>
        <v>0</v>
      </c>
      <c r="R149" s="108" t="s">
        <v>82</v>
      </c>
    </row>
    <row r="150" spans="7:18" x14ac:dyDescent="0.25">
      <c r="M150" s="36"/>
      <c r="N150" s="36"/>
    </row>
    <row r="151" spans="7:18" x14ac:dyDescent="0.25">
      <c r="G151" s="2">
        <v>1040</v>
      </c>
      <c r="H151" s="2" t="s">
        <v>190</v>
      </c>
      <c r="K151" s="2">
        <v>0</v>
      </c>
      <c r="L151" s="2" t="s">
        <v>190</v>
      </c>
      <c r="M151" s="36"/>
      <c r="N151" s="36"/>
      <c r="O151" s="2">
        <f>+M151</f>
        <v>0</v>
      </c>
      <c r="P151" s="2" t="s">
        <v>190</v>
      </c>
      <c r="Q151" s="2">
        <v>9628</v>
      </c>
      <c r="R151" s="2" t="s">
        <v>190</v>
      </c>
    </row>
    <row r="152" spans="7:18" x14ac:dyDescent="0.25">
      <c r="G152" s="2">
        <v>500</v>
      </c>
      <c r="H152" s="2" t="s">
        <v>189</v>
      </c>
      <c r="K152" s="2">
        <v>0</v>
      </c>
      <c r="L152" s="2" t="s">
        <v>189</v>
      </c>
      <c r="M152" s="36"/>
      <c r="N152" s="36"/>
      <c r="O152" s="2">
        <f>+M152</f>
        <v>0</v>
      </c>
      <c r="P152" s="2" t="s">
        <v>189</v>
      </c>
      <c r="Q152" s="2">
        <v>500</v>
      </c>
      <c r="R152" s="2" t="s">
        <v>189</v>
      </c>
    </row>
    <row r="153" spans="7:18" x14ac:dyDescent="0.25">
      <c r="G153" s="112">
        <f>SUM(G135:G152)</f>
        <v>39012</v>
      </c>
      <c r="K153" s="112">
        <f>SUM(K135:K152)</f>
        <v>39008</v>
      </c>
      <c r="M153" s="36"/>
      <c r="N153" s="36"/>
      <c r="O153" s="112">
        <f>SUM(O135:O152)</f>
        <v>39004</v>
      </c>
      <c r="Q153" s="112">
        <f>SUM(Q135:Q152)</f>
        <v>39003</v>
      </c>
    </row>
    <row r="154" spans="7:18" x14ac:dyDescent="0.25">
      <c r="M154" s="36"/>
      <c r="N154" s="36"/>
    </row>
    <row r="155" spans="7:18" x14ac:dyDescent="0.25">
      <c r="G155" s="2">
        <f>+G133-G153</f>
        <v>-12</v>
      </c>
      <c r="H155" s="2" t="s">
        <v>49</v>
      </c>
      <c r="K155" s="2">
        <f>+K133-K153</f>
        <v>-8</v>
      </c>
      <c r="L155" s="2" t="s">
        <v>49</v>
      </c>
      <c r="M155" s="36"/>
      <c r="N155" s="36"/>
      <c r="O155" s="2">
        <f>+O133-O153</f>
        <v>-4</v>
      </c>
      <c r="P155" s="2" t="s">
        <v>49</v>
      </c>
      <c r="Q155" s="2">
        <f>+Q133-Q153</f>
        <v>-3</v>
      </c>
      <c r="R155" s="2" t="s">
        <v>49</v>
      </c>
    </row>
  </sheetData>
  <mergeCells count="7">
    <mergeCell ref="A108:B108"/>
    <mergeCell ref="AD108:AE108"/>
    <mergeCell ref="H6:N6"/>
    <mergeCell ref="O6:U6"/>
    <mergeCell ref="V6:AB6"/>
    <mergeCell ref="B100:B105"/>
    <mergeCell ref="AE100:AE104"/>
  </mergeCells>
  <conditionalFormatting sqref="C108:E109 AH108:XFD109 G109:AF109 G108 I108 K108 M108 O108 Q108 S108 U108 W108 Y108 AA108 AC108:AF108">
    <cfRule type="cellIs" dxfId="13" priority="14" operator="greaterThan">
      <formula>1000</formula>
    </cfRule>
  </conditionalFormatting>
  <conditionalFormatting sqref="AF110:AF112 AF114:AF130">
    <cfRule type="cellIs" dxfId="12" priority="13" operator="greaterThan">
      <formula>1000</formula>
    </cfRule>
  </conditionalFormatting>
  <conditionalFormatting sqref="F108">
    <cfRule type="cellIs" dxfId="11" priority="12" operator="greaterThan">
      <formula>1000</formula>
    </cfRule>
  </conditionalFormatting>
  <conditionalFormatting sqref="H108">
    <cfRule type="cellIs" dxfId="10" priority="11" operator="greaterThan">
      <formula>1000</formula>
    </cfRule>
  </conditionalFormatting>
  <conditionalFormatting sqref="J108">
    <cfRule type="cellIs" dxfId="9" priority="10" operator="greaterThan">
      <formula>1000</formula>
    </cfRule>
  </conditionalFormatting>
  <conditionalFormatting sqref="L108">
    <cfRule type="cellIs" dxfId="8" priority="9" operator="greaterThan">
      <formula>1000</formula>
    </cfRule>
  </conditionalFormatting>
  <conditionalFormatting sqref="N108">
    <cfRule type="cellIs" dxfId="7" priority="8" operator="greaterThan">
      <formula>1000</formula>
    </cfRule>
  </conditionalFormatting>
  <conditionalFormatting sqref="P108">
    <cfRule type="cellIs" dxfId="6" priority="7" operator="greaterThan">
      <formula>1000</formula>
    </cfRule>
  </conditionalFormatting>
  <conditionalFormatting sqref="R108">
    <cfRule type="cellIs" dxfId="5" priority="6" operator="greaterThan">
      <formula>1000</formula>
    </cfRule>
  </conditionalFormatting>
  <conditionalFormatting sqref="T108">
    <cfRule type="cellIs" dxfId="4" priority="5" operator="greaterThan">
      <formula>1000</formula>
    </cfRule>
  </conditionalFormatting>
  <conditionalFormatting sqref="V108">
    <cfRule type="cellIs" dxfId="3" priority="4" operator="greaterThan">
      <formula>1000</formula>
    </cfRule>
  </conditionalFormatting>
  <conditionalFormatting sqref="X108">
    <cfRule type="cellIs" dxfId="2" priority="3" operator="greaterThan">
      <formula>1000</formula>
    </cfRule>
  </conditionalFormatting>
  <conditionalFormatting sqref="Z108">
    <cfRule type="cellIs" dxfId="1" priority="2" operator="greaterThan">
      <formula>1000</formula>
    </cfRule>
  </conditionalFormatting>
  <conditionalFormatting sqref="AB108">
    <cfRule type="cellIs" dxfId="0" priority="1" operator="greaterThan">
      <formula>1000</formula>
    </cfRule>
  </conditionalFormatting>
  <pageMargins left="0.25" right="0.25" top="0.25" bottom="0.25" header="0.25" footer="0.25"/>
  <pageSetup paperSize="5" scale="71" fitToWidth="4" orientation="landscape" cellComments="asDisplayed" r:id="rId1"/>
  <headerFooter>
    <oddHeader>&amp;R&amp;A</oddHeader>
    <oddFooter>&amp;L&amp;F&amp;CPage &amp;P of &amp;N&amp;R&amp;A</oddFooter>
  </headerFooter>
  <colBreaks count="4" manualBreakCount="4">
    <brk id="8" max="127" man="1"/>
    <brk id="16" max="127" man="1"/>
    <brk id="22" max="127" man="1"/>
    <brk id="28" max="127"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L106"/>
  <sheetViews>
    <sheetView showGridLines="0" zoomScaleNormal="100" workbookViewId="0">
      <pane xSplit="5" ySplit="1" topLeftCell="F2" activePane="bottomRight" state="frozen"/>
      <selection activeCell="F2" sqref="F2"/>
      <selection pane="topRight" activeCell="F2" sqref="F2"/>
      <selection pane="bottomLeft" activeCell="F2" sqref="F2"/>
      <selection pane="bottomRight" activeCell="F5" sqref="F5"/>
    </sheetView>
  </sheetViews>
  <sheetFormatPr defaultRowHeight="14.25" x14ac:dyDescent="0.2"/>
  <cols>
    <col min="1" max="1" width="1.28515625" style="1981" customWidth="1"/>
    <col min="2" max="2" width="1.85546875" style="1981" customWidth="1"/>
    <col min="3" max="3" width="1.85546875" style="1980" customWidth="1"/>
    <col min="4" max="4" width="69" style="1980" customWidth="1"/>
    <col min="5" max="5" width="3.5703125" style="270" hidden="1" customWidth="1"/>
    <col min="6" max="9" width="21.7109375" style="270" customWidth="1"/>
    <col min="10" max="12" width="21.7109375" style="270" hidden="1" customWidth="1"/>
    <col min="13" max="13" width="4.42578125" style="270" customWidth="1"/>
    <col min="14" max="14" width="5" style="221" customWidth="1"/>
    <col min="15" max="15" width="24.140625" style="633" customWidth="1"/>
    <col min="16" max="16" width="18.7109375" style="633" customWidth="1"/>
    <col min="17" max="17" width="18.85546875" style="221" customWidth="1"/>
    <col min="18" max="19" width="17.28515625" style="221" customWidth="1"/>
    <col min="20" max="20" width="26.140625" style="221" customWidth="1"/>
    <col min="21" max="21" width="11" style="221" customWidth="1"/>
    <col min="22" max="22" width="12.42578125" style="221" customWidth="1"/>
    <col min="23" max="25" width="13.5703125" style="221" customWidth="1"/>
    <col min="26" max="26" width="4" style="221" customWidth="1"/>
    <col min="27" max="27" width="7.85546875" style="221" customWidth="1"/>
    <col min="28" max="31" width="11" style="221" customWidth="1"/>
    <col min="32" max="32" width="9.140625" style="221" customWidth="1"/>
    <col min="33" max="33" width="9.140625" style="1886"/>
    <col min="34" max="34" width="18.28515625" style="1886" customWidth="1"/>
    <col min="35" max="16384" width="9.140625" style="1886"/>
  </cols>
  <sheetData>
    <row r="1" spans="1:38" s="1885" customFormat="1" ht="35.1" customHeight="1" thickTop="1" x14ac:dyDescent="0.25">
      <c r="A1" s="1982" t="s">
        <v>357</v>
      </c>
      <c r="B1" s="1983"/>
      <c r="C1" s="1983"/>
      <c r="D1" s="1984"/>
      <c r="E1" s="996" t="str">
        <f>+COMBINED!E1</f>
        <v>2015-2016</v>
      </c>
      <c r="F1" s="1586" t="str">
        <f>+COMBINED!F1</f>
        <v>2016-2017</v>
      </c>
      <c r="G1" s="1665" t="str">
        <f>+COMBINED!G1</f>
        <v>2017-2018</v>
      </c>
      <c r="H1" s="1628" t="str">
        <f>+COMBINED!H1</f>
        <v>2018-2019</v>
      </c>
      <c r="I1" s="1034" t="str">
        <f>+COMBINED!I1</f>
        <v>2019-2020</v>
      </c>
      <c r="J1" s="218" t="str">
        <f>+COMBINED!J1</f>
        <v>2020-2021</v>
      </c>
      <c r="K1" s="219" t="str">
        <f>+COMBINED!K1</f>
        <v>2021-2022</v>
      </c>
      <c r="L1" s="218" t="str">
        <f>+COMBINED!L1</f>
        <v>2022-2023</v>
      </c>
      <c r="M1" s="1186"/>
      <c r="N1" s="220"/>
      <c r="O1" s="632"/>
      <c r="P1" s="239"/>
      <c r="Q1" s="239"/>
      <c r="R1" s="239"/>
      <c r="S1" s="239"/>
      <c r="T1" s="220"/>
      <c r="U1" s="220"/>
      <c r="V1" s="220"/>
      <c r="W1" s="220"/>
      <c r="X1" s="220"/>
      <c r="Y1" s="220"/>
      <c r="Z1" s="220"/>
      <c r="AA1" s="220"/>
      <c r="AB1" s="220"/>
      <c r="AC1" s="220"/>
      <c r="AD1" s="220"/>
      <c r="AE1" s="220"/>
      <c r="AF1" s="220"/>
    </row>
    <row r="2" spans="1:38" ht="15.75" x14ac:dyDescent="0.25">
      <c r="A2" s="1985"/>
      <c r="B2" s="1986"/>
      <c r="C2" s="1987"/>
      <c r="D2" s="1987"/>
      <c r="E2" s="1032"/>
      <c r="F2" s="1587"/>
      <c r="G2" s="1666"/>
      <c r="H2" s="1629"/>
      <c r="I2" s="1035"/>
      <c r="J2" s="223"/>
      <c r="K2" s="224"/>
      <c r="L2" s="223"/>
      <c r="M2" s="224"/>
      <c r="O2" s="629"/>
      <c r="P2" s="625"/>
      <c r="Q2" s="625"/>
      <c r="R2" s="625"/>
      <c r="S2" s="625"/>
      <c r="U2" s="1158"/>
    </row>
    <row r="3" spans="1:38" ht="18" x14ac:dyDescent="0.25">
      <c r="A3" s="1988"/>
      <c r="B3" s="1928" t="s">
        <v>358</v>
      </c>
      <c r="C3" s="1929"/>
      <c r="D3" s="1929"/>
      <c r="E3" s="1033"/>
      <c r="F3" s="1588"/>
      <c r="G3" s="1667"/>
      <c r="H3" s="1630"/>
      <c r="I3" s="1036"/>
      <c r="J3" s="915"/>
      <c r="K3" s="914"/>
      <c r="L3" s="916"/>
      <c r="M3" s="1187"/>
      <c r="N3" s="226"/>
      <c r="O3" s="629"/>
      <c r="P3" s="625"/>
      <c r="Q3" s="625"/>
      <c r="R3" s="625"/>
      <c r="S3" s="625"/>
      <c r="U3" s="627"/>
      <c r="V3" s="627"/>
      <c r="W3" s="627"/>
    </row>
    <row r="4" spans="1:38" ht="18" x14ac:dyDescent="0.25">
      <c r="A4" s="1989"/>
      <c r="B4" s="1931"/>
      <c r="C4" s="1120" t="s">
        <v>736</v>
      </c>
      <c r="D4" s="1120"/>
      <c r="E4" s="917"/>
      <c r="F4" s="1589">
        <f>+'RS 00XX &amp; 1400'!D10+'RS 0653'!D9+'RS 0654'!D9+'RS 0655'!D9+'RS 0617'!D9</f>
        <v>64074636.999999993</v>
      </c>
      <c r="G4" s="1668">
        <f>+'RS 00XX &amp; 1400'!H10+'RS 0653'!H9+'RS 0654'!H9+'RS 0655'!H9+'RS 0617'!H11</f>
        <v>64991652</v>
      </c>
      <c r="H4" s="1631">
        <f>+'RS 00XX &amp; 1400'!L10+'RS 0653'!L9+'RS 0654'!L9+'RS 0655'!L9+'RS 0617'!L11</f>
        <v>66977302</v>
      </c>
      <c r="I4" s="1024">
        <f>+'RS 00XX &amp; 1400'!P10+'RS 0653'!P9+'RS 0654'!P9+'RS 0655'!P9+'RS 0617'!P11</f>
        <v>68820605</v>
      </c>
      <c r="J4" s="938">
        <v>71555411</v>
      </c>
      <c r="K4" s="939">
        <f>+J4*1.0266</f>
        <v>73458784.932599992</v>
      </c>
      <c r="L4" s="938">
        <f>+K4*1.0266</f>
        <v>75412788.611807153</v>
      </c>
      <c r="M4" s="315"/>
      <c r="O4" s="629"/>
      <c r="P4" s="625"/>
      <c r="Q4" s="625"/>
      <c r="R4" s="625"/>
      <c r="S4" s="625"/>
      <c r="U4" s="628"/>
      <c r="V4" s="628"/>
      <c r="W4" s="628"/>
    </row>
    <row r="5" spans="1:38" ht="18" x14ac:dyDescent="0.25">
      <c r="A5" s="1989"/>
      <c r="B5" s="1931"/>
      <c r="C5" s="1120"/>
      <c r="D5" s="1990" t="s">
        <v>949</v>
      </c>
      <c r="E5" s="1533"/>
      <c r="F5" s="1590">
        <v>0</v>
      </c>
      <c r="G5" s="1669">
        <v>0</v>
      </c>
      <c r="H5" s="1632">
        <v>0</v>
      </c>
      <c r="I5" s="1001">
        <v>760000</v>
      </c>
      <c r="J5" s="1531"/>
      <c r="K5" s="1532"/>
      <c r="L5" s="1531"/>
      <c r="M5" s="315"/>
      <c r="O5" s="629"/>
      <c r="P5" s="626"/>
      <c r="Q5" s="626"/>
      <c r="R5" s="626"/>
      <c r="S5" s="626"/>
      <c r="T5" s="644"/>
      <c r="U5" s="628"/>
      <c r="V5" s="628"/>
      <c r="W5" s="628"/>
    </row>
    <row r="6" spans="1:38" ht="18" x14ac:dyDescent="0.25">
      <c r="A6" s="1991"/>
      <c r="B6" s="1933"/>
      <c r="C6" s="1109" t="s">
        <v>546</v>
      </c>
      <c r="D6" s="1109"/>
      <c r="E6" s="919"/>
      <c r="F6" s="1591">
        <f>+'RS 00XX &amp; 1400'!D11</f>
        <v>79154</v>
      </c>
      <c r="G6" s="1670">
        <f>+'RS 00XX &amp; 1400'!H11</f>
        <v>0</v>
      </c>
      <c r="H6" s="1633">
        <f>+'RS 00XX &amp; 1400'!L11</f>
        <v>0</v>
      </c>
      <c r="I6" s="1000">
        <f>+'RS 00XX &amp; 1400'!P11</f>
        <v>0</v>
      </c>
      <c r="J6" s="920"/>
      <c r="K6" s="919"/>
      <c r="L6" s="921"/>
      <c r="M6" s="233"/>
      <c r="N6" s="228"/>
      <c r="O6" s="630"/>
      <c r="P6" s="626"/>
      <c r="Q6" s="626"/>
      <c r="R6" s="626"/>
      <c r="S6" s="626"/>
      <c r="T6" s="644"/>
    </row>
    <row r="7" spans="1:38" ht="18" hidden="1" x14ac:dyDescent="0.25">
      <c r="A7" s="2111"/>
      <c r="B7" s="2112"/>
      <c r="C7" s="2113"/>
      <c r="D7" s="2113"/>
      <c r="E7" s="2114"/>
      <c r="F7" s="1591"/>
      <c r="G7" s="1670"/>
      <c r="H7" s="1633"/>
      <c r="I7" s="1000"/>
      <c r="J7" s="2115"/>
      <c r="K7" s="2114"/>
      <c r="L7" s="2116"/>
      <c r="M7" s="233"/>
      <c r="N7" s="228"/>
      <c r="O7" s="630"/>
      <c r="P7" s="626"/>
      <c r="Q7" s="626"/>
      <c r="R7" s="626"/>
      <c r="S7" s="626"/>
      <c r="T7" s="644"/>
    </row>
    <row r="8" spans="1:38" ht="18" x14ac:dyDescent="0.25">
      <c r="A8" s="1991"/>
      <c r="B8" s="1933"/>
      <c r="C8" s="1109" t="s">
        <v>361</v>
      </c>
      <c r="D8" s="1109"/>
      <c r="E8" s="919"/>
      <c r="F8" s="1591">
        <f>+'RS 00XX &amp; 1400'!D12+'RS 00XX &amp; 1400'!D14+'RS 1100'!D9</f>
        <v>1344344.78</v>
      </c>
      <c r="G8" s="1670">
        <f>+'RS 00XX &amp; 1400'!H12+'RS 00XX &amp; 1400'!H14+'RS 1100'!H9</f>
        <v>1363378</v>
      </c>
      <c r="H8" s="1633">
        <f>+'RS 00XX &amp; 1400'!L12+'RS 00XX &amp; 1400'!L14+'RS 1100'!L9</f>
        <v>1386535.7964999999</v>
      </c>
      <c r="I8" s="1000">
        <f>+'RS 00XX &amp; 1400'!P12+'RS 00XX &amp; 1400'!P14+'RS 1100'!P9</f>
        <v>1413601.3562177499</v>
      </c>
      <c r="J8" s="920" t="e">
        <f>(I8)*(1+#REF!)</f>
        <v>#REF!</v>
      </c>
      <c r="K8" s="919" t="e">
        <f>(J8)*(1+#REF!)</f>
        <v>#REF!</v>
      </c>
      <c r="L8" s="921" t="e">
        <f>(K8)*(1+#REF!)</f>
        <v>#REF!</v>
      </c>
      <c r="M8" s="233"/>
      <c r="N8" s="229"/>
      <c r="O8" s="631"/>
      <c r="P8" s="626"/>
      <c r="Q8" s="626"/>
      <c r="R8" s="626"/>
      <c r="S8" s="626"/>
      <c r="T8" s="644"/>
    </row>
    <row r="9" spans="1:38" ht="18" x14ac:dyDescent="0.25">
      <c r="A9" s="1992"/>
      <c r="B9" s="1993"/>
      <c r="C9" s="1994"/>
      <c r="D9" s="1934" t="s">
        <v>362</v>
      </c>
      <c r="E9" s="922"/>
      <c r="F9" s="1590">
        <f>+'RS 00XX &amp; 1400'!D13</f>
        <v>1687542</v>
      </c>
      <c r="G9" s="1669">
        <f>+'RS 00XX &amp; 1400'!H13</f>
        <v>0</v>
      </c>
      <c r="H9" s="1632">
        <f>+'RS 00XX &amp; 1400'!L13</f>
        <v>0</v>
      </c>
      <c r="I9" s="1001">
        <f>+'RS 00XX &amp; 1400'!P13</f>
        <v>0</v>
      </c>
      <c r="J9" s="923">
        <v>0</v>
      </c>
      <c r="K9" s="922">
        <v>0</v>
      </c>
      <c r="L9" s="924">
        <v>0</v>
      </c>
      <c r="M9" s="320"/>
      <c r="N9" s="229"/>
      <c r="O9" s="630"/>
      <c r="P9" s="626"/>
      <c r="Q9" s="626"/>
      <c r="R9" s="626"/>
      <c r="S9" s="626"/>
      <c r="T9" s="644"/>
    </row>
    <row r="10" spans="1:38" ht="18" x14ac:dyDescent="0.25">
      <c r="A10" s="1991"/>
      <c r="B10" s="1933"/>
      <c r="C10" s="1109" t="s">
        <v>363</v>
      </c>
      <c r="D10" s="1109"/>
      <c r="E10" s="919"/>
      <c r="F10" s="1591">
        <f>+SUM('RS 00XX &amp; 1400'!D17:D23)+'RS 0655'!D10</f>
        <v>471638.75</v>
      </c>
      <c r="G10" s="1670">
        <f>+SUM('RS 00XX &amp; 1400'!H17:H23)+'RS 0655'!H10</f>
        <v>470368</v>
      </c>
      <c r="H10" s="1633">
        <f>+SUM('RS 00XX &amp; 1400'!L17:L23)+'RS 0655'!L10</f>
        <v>481447</v>
      </c>
      <c r="I10" s="1000">
        <f>+SUM('RS 00XX &amp; 1400'!P17:P23)+'RS 0655'!P10</f>
        <v>492782.38600000006</v>
      </c>
      <c r="J10" s="920">
        <f t="shared" ref="J10:L10" si="0">+I10</f>
        <v>492782.38600000006</v>
      </c>
      <c r="K10" s="919">
        <f t="shared" si="0"/>
        <v>492782.38600000006</v>
      </c>
      <c r="L10" s="921">
        <f t="shared" si="0"/>
        <v>492782.38600000006</v>
      </c>
      <c r="M10" s="233"/>
      <c r="O10" s="624"/>
      <c r="P10" s="626"/>
      <c r="Q10" s="626"/>
      <c r="R10" s="626"/>
      <c r="S10" s="626"/>
      <c r="T10" s="644"/>
    </row>
    <row r="11" spans="1:38" ht="19.5" x14ac:dyDescent="0.35">
      <c r="A11" s="1995"/>
      <c r="B11" s="1996"/>
      <c r="C11" s="1997"/>
      <c r="D11" s="1998" t="s">
        <v>696</v>
      </c>
      <c r="E11" s="320"/>
      <c r="F11" s="1592">
        <f>+'RS 00XX &amp; 1400'!D15+'RS 00XX &amp; 1400'!D16</f>
        <v>876320</v>
      </c>
      <c r="G11" s="1671">
        <f>+'RS 00XX &amp; 1400'!H15+'RS 00XX &amp; 1400'!H16</f>
        <v>0</v>
      </c>
      <c r="H11" s="1634">
        <f>+'RS 00XX &amp; 1400'!L15+'RS 00XX &amp; 1400'!L16</f>
        <v>0</v>
      </c>
      <c r="I11" s="1037">
        <f>+'RS 00XX &amp; 1400'!P15+'RS 00XX &amp; 1400'!P16</f>
        <v>0</v>
      </c>
      <c r="J11" s="498">
        <v>0</v>
      </c>
      <c r="K11" s="320">
        <v>0</v>
      </c>
      <c r="L11" s="231">
        <v>0</v>
      </c>
      <c r="M11" s="320"/>
      <c r="O11" s="634"/>
      <c r="P11" s="626"/>
      <c r="Q11" s="626"/>
      <c r="R11" s="626"/>
      <c r="S11" s="626"/>
      <c r="T11" s="644"/>
    </row>
    <row r="12" spans="1:38" ht="18" customHeight="1" thickBot="1" x14ac:dyDescent="0.3">
      <c r="A12" s="1938"/>
      <c r="B12" s="1939" t="s">
        <v>364</v>
      </c>
      <c r="C12" s="1947"/>
      <c r="D12" s="1947"/>
      <c r="E12" s="933"/>
      <c r="F12" s="1593">
        <f>SUM(F4:F11)</f>
        <v>68533636.530000001</v>
      </c>
      <c r="G12" s="1672">
        <f>SUM(G4:G11)</f>
        <v>66825398</v>
      </c>
      <c r="H12" s="1635">
        <f>SUM(H4:H11)</f>
        <v>68845284.796499997</v>
      </c>
      <c r="I12" s="1007">
        <f>SUM(I4:I11)</f>
        <v>71486988.742217764</v>
      </c>
      <c r="J12" s="934" t="e">
        <f t="shared" ref="J12:L12" si="1">SUM(J4:J11)</f>
        <v>#REF!</v>
      </c>
      <c r="K12" s="933" t="e">
        <f t="shared" si="1"/>
        <v>#REF!</v>
      </c>
      <c r="L12" s="934" t="e">
        <f t="shared" si="1"/>
        <v>#REF!</v>
      </c>
      <c r="M12" s="315"/>
      <c r="N12" s="228"/>
      <c r="O12" s="635"/>
      <c r="P12" s="951"/>
      <c r="Q12" s="951"/>
      <c r="R12" s="951"/>
      <c r="S12" s="951"/>
      <c r="T12" s="644"/>
    </row>
    <row r="13" spans="1:38" ht="18" customHeight="1" thickTop="1" x14ac:dyDescent="0.25">
      <c r="A13" s="1999"/>
      <c r="B13" s="2000"/>
      <c r="C13" s="2001"/>
      <c r="D13" s="2001"/>
      <c r="E13" s="1054"/>
      <c r="F13" s="1594"/>
      <c r="G13" s="1673"/>
      <c r="H13" s="1636"/>
      <c r="I13" s="1004"/>
      <c r="J13" s="236"/>
      <c r="K13" s="237"/>
      <c r="L13" s="238"/>
      <c r="M13" s="237"/>
      <c r="N13" s="229"/>
      <c r="O13" s="636"/>
      <c r="P13" s="951"/>
      <c r="Q13" s="951"/>
      <c r="R13" s="951"/>
      <c r="S13" s="951"/>
      <c r="T13" s="644"/>
    </row>
    <row r="14" spans="1:38" ht="18" customHeight="1" x14ac:dyDescent="0.25">
      <c r="A14" s="1988"/>
      <c r="B14" s="1928" t="s">
        <v>737</v>
      </c>
      <c r="C14" s="1929"/>
      <c r="D14" s="1929"/>
      <c r="E14" s="1022"/>
      <c r="F14" s="1595"/>
      <c r="G14" s="1674"/>
      <c r="H14" s="1637"/>
      <c r="I14" s="1023"/>
      <c r="J14" s="236"/>
      <c r="K14" s="237"/>
      <c r="L14" s="238"/>
      <c r="M14" s="237"/>
      <c r="N14" s="229"/>
      <c r="O14" s="636"/>
      <c r="P14" s="951"/>
      <c r="Q14" s="951"/>
      <c r="R14" s="951"/>
      <c r="S14" s="951"/>
      <c r="T14" s="644"/>
    </row>
    <row r="15" spans="1:38" ht="18" x14ac:dyDescent="0.25">
      <c r="A15" s="1989"/>
      <c r="B15" s="1931"/>
      <c r="C15" s="1120" t="s">
        <v>376</v>
      </c>
      <c r="D15" s="1120"/>
      <c r="E15" s="918"/>
      <c r="F15" s="1589">
        <v>0</v>
      </c>
      <c r="G15" s="1668">
        <v>0</v>
      </c>
      <c r="H15" s="1631">
        <v>0</v>
      </c>
      <c r="I15" s="1024">
        <v>0</v>
      </c>
      <c r="J15" s="938">
        <v>0</v>
      </c>
      <c r="K15" s="939">
        <v>0</v>
      </c>
      <c r="L15" s="938">
        <v>0</v>
      </c>
      <c r="M15" s="315"/>
      <c r="O15" s="637"/>
      <c r="P15" s="638"/>
      <c r="Q15" s="638"/>
      <c r="R15" s="638"/>
      <c r="S15" s="638"/>
      <c r="T15" s="638"/>
      <c r="U15" s="638"/>
      <c r="V15" s="644"/>
      <c r="W15" s="644"/>
      <c r="X15" s="644"/>
      <c r="Y15" s="644"/>
      <c r="Z15" s="644"/>
      <c r="AA15" s="644"/>
      <c r="AB15" s="644"/>
      <c r="AC15" s="644"/>
      <c r="AD15" s="644"/>
      <c r="AE15" s="644"/>
      <c r="AF15" s="644"/>
      <c r="AG15" s="1887"/>
      <c r="AH15" s="1887"/>
      <c r="AI15" s="1887"/>
      <c r="AJ15" s="1887"/>
      <c r="AK15" s="1887"/>
      <c r="AL15" s="1887"/>
    </row>
    <row r="16" spans="1:38" s="1889" customFormat="1" ht="18" x14ac:dyDescent="0.25">
      <c r="A16" s="1991"/>
      <c r="B16" s="1933"/>
      <c r="C16" s="1109" t="s">
        <v>282</v>
      </c>
      <c r="D16" s="1109"/>
      <c r="E16" s="919"/>
      <c r="F16" s="1596">
        <v>0</v>
      </c>
      <c r="G16" s="1670">
        <v>0</v>
      </c>
      <c r="H16" s="1633">
        <v>0</v>
      </c>
      <c r="I16" s="1000">
        <v>0</v>
      </c>
      <c r="J16" s="921">
        <v>0</v>
      </c>
      <c r="K16" s="919">
        <v>0</v>
      </c>
      <c r="L16" s="921">
        <v>0</v>
      </c>
      <c r="M16" s="233"/>
      <c r="N16" s="249"/>
      <c r="O16" s="637"/>
      <c r="P16" s="638"/>
      <c r="Q16" s="638"/>
      <c r="R16" s="638"/>
      <c r="S16" s="638"/>
      <c r="T16" s="638"/>
      <c r="U16" s="638"/>
      <c r="V16" s="653"/>
      <c r="W16" s="653"/>
      <c r="X16" s="653"/>
      <c r="Y16" s="653"/>
      <c r="Z16" s="653"/>
      <c r="AA16" s="653"/>
      <c r="AB16" s="653"/>
      <c r="AC16" s="653"/>
      <c r="AD16" s="653"/>
      <c r="AE16" s="653"/>
      <c r="AF16" s="653"/>
      <c r="AG16" s="1888"/>
      <c r="AH16" s="1888"/>
      <c r="AI16" s="1888"/>
      <c r="AJ16" s="1888"/>
      <c r="AK16" s="1888"/>
      <c r="AL16" s="1888"/>
    </row>
    <row r="17" spans="1:38" ht="24.75" customHeight="1" x14ac:dyDescent="0.25">
      <c r="A17" s="1991"/>
      <c r="B17" s="1933"/>
      <c r="C17" s="1109" t="s">
        <v>412</v>
      </c>
      <c r="D17" s="1109"/>
      <c r="E17" s="919"/>
      <c r="F17" s="1596"/>
      <c r="G17" s="1670"/>
      <c r="H17" s="1633"/>
      <c r="I17" s="1000"/>
      <c r="J17" s="921" t="e">
        <f>-#REF!</f>
        <v>#REF!</v>
      </c>
      <c r="K17" s="919" t="e">
        <f>-#REF!</f>
        <v>#REF!</v>
      </c>
      <c r="L17" s="921" t="e">
        <f>-#REF!</f>
        <v>#REF!</v>
      </c>
      <c r="M17" s="233"/>
      <c r="O17" s="642"/>
      <c r="P17" s="641"/>
      <c r="Q17" s="641"/>
      <c r="R17" s="641"/>
      <c r="S17" s="641"/>
      <c r="T17" s="644"/>
      <c r="U17" s="644"/>
      <c r="V17" s="644"/>
      <c r="W17" s="644"/>
      <c r="X17" s="644"/>
      <c r="Y17" s="644"/>
      <c r="Z17" s="644"/>
      <c r="AA17" s="644"/>
      <c r="AB17" s="644"/>
      <c r="AC17" s="644"/>
      <c r="AD17" s="644"/>
      <c r="AE17" s="644"/>
      <c r="AF17" s="644"/>
      <c r="AG17" s="1887"/>
      <c r="AH17" s="1887"/>
      <c r="AI17" s="1887"/>
      <c r="AJ17" s="1887"/>
      <c r="AK17" s="1887"/>
      <c r="AL17" s="1887"/>
    </row>
    <row r="18" spans="1:38" ht="18" x14ac:dyDescent="0.25">
      <c r="A18" s="1991"/>
      <c r="B18" s="1933"/>
      <c r="C18" s="1109"/>
      <c r="D18" s="1109" t="str">
        <f>+RESTRICTED!D18</f>
        <v>Special Education (RS 6500)</v>
      </c>
      <c r="E18" s="919">
        <f>-RESTRICTED!E18</f>
        <v>0</v>
      </c>
      <c r="F18" s="1596">
        <f>-RESTRICTED!F18</f>
        <v>-11322089</v>
      </c>
      <c r="G18" s="1670">
        <f>-RESTRICTED!G18</f>
        <v>-12352512</v>
      </c>
      <c r="H18" s="1633">
        <f>-RESTRICTED!H18</f>
        <v>-12704401</v>
      </c>
      <c r="I18" s="1000">
        <f>-RESTRICTED!I18</f>
        <v>-13139027</v>
      </c>
      <c r="J18" s="921"/>
      <c r="K18" s="919"/>
      <c r="L18" s="921"/>
      <c r="M18" s="233"/>
      <c r="O18" s="640"/>
      <c r="P18" s="643"/>
      <c r="Q18" s="643"/>
      <c r="R18" s="643"/>
      <c r="S18" s="643"/>
      <c r="T18" s="644"/>
      <c r="U18" s="644"/>
      <c r="V18" s="644"/>
      <c r="W18" s="644"/>
      <c r="X18" s="644"/>
      <c r="Y18" s="644"/>
      <c r="Z18" s="644"/>
      <c r="AA18" s="644"/>
      <c r="AB18" s="644"/>
      <c r="AC18" s="644"/>
      <c r="AD18" s="644"/>
      <c r="AE18" s="644"/>
      <c r="AF18" s="644"/>
      <c r="AG18" s="1887"/>
      <c r="AH18" s="1887"/>
      <c r="AI18" s="1887"/>
      <c r="AJ18" s="1887"/>
      <c r="AK18" s="1887"/>
      <c r="AL18" s="1887"/>
    </row>
    <row r="19" spans="1:38" ht="18" x14ac:dyDescent="0.25">
      <c r="A19" s="1991"/>
      <c r="B19" s="1933"/>
      <c r="C19" s="1109"/>
      <c r="D19" s="1109" t="str">
        <f>+RESTRICTED!D19</f>
        <v>Ongoing &amp; Major Maintenance (RS 8150)</v>
      </c>
      <c r="E19" s="919">
        <f>-RESTRICTED!E19</f>
        <v>0</v>
      </c>
      <c r="F19" s="1596">
        <f>-RESTRICTED!F19</f>
        <v>-2510809</v>
      </c>
      <c r="G19" s="1670">
        <f>-RESTRICTED!G19</f>
        <v>-2608798</v>
      </c>
      <c r="H19" s="1633">
        <f>-RESTRICTED!H19</f>
        <v>-2410805</v>
      </c>
      <c r="I19" s="1000">
        <f>-RESTRICTED!I19</f>
        <v>-2480055</v>
      </c>
      <c r="J19" s="921"/>
      <c r="K19" s="919"/>
      <c r="L19" s="921"/>
      <c r="M19" s="233"/>
      <c r="O19" s="643"/>
      <c r="P19" s="641"/>
      <c r="Q19" s="641"/>
      <c r="R19" s="641"/>
      <c r="S19" s="641"/>
      <c r="T19" s="644"/>
      <c r="U19" s="644"/>
      <c r="V19" s="644"/>
      <c r="W19" s="644"/>
      <c r="X19" s="644"/>
      <c r="Y19" s="644"/>
      <c r="Z19" s="644"/>
      <c r="AA19" s="644"/>
      <c r="AB19" s="644"/>
      <c r="AC19" s="644"/>
      <c r="AD19" s="644"/>
      <c r="AE19" s="644"/>
      <c r="AF19" s="644"/>
      <c r="AG19" s="1887"/>
      <c r="AH19" s="1887"/>
      <c r="AI19" s="1887"/>
      <c r="AJ19" s="1887"/>
      <c r="AK19" s="1887"/>
      <c r="AL19" s="1887"/>
    </row>
    <row r="20" spans="1:38" ht="18" x14ac:dyDescent="0.25">
      <c r="A20" s="2002"/>
      <c r="B20" s="1936"/>
      <c r="C20" s="1937"/>
      <c r="D20" s="1937" t="str">
        <f>+RESTRICTED!D20</f>
        <v>Facilities Improvement (RS 9225)</v>
      </c>
      <c r="E20" s="935">
        <f>-RESTRICTED!E20</f>
        <v>0</v>
      </c>
      <c r="F20" s="1597">
        <f>-RESTRICTED!F20</f>
        <v>-1961318</v>
      </c>
      <c r="G20" s="1675">
        <f>-RESTRICTED!G20</f>
        <v>-300000</v>
      </c>
      <c r="H20" s="1638">
        <f>-RESTRICTED!H20</f>
        <v>0</v>
      </c>
      <c r="I20" s="1002">
        <f>-RESTRICTED!I20</f>
        <v>0</v>
      </c>
      <c r="J20" s="936"/>
      <c r="K20" s="935"/>
      <c r="L20" s="936"/>
      <c r="M20" s="233"/>
      <c r="O20" s="637"/>
      <c r="P20" s="638"/>
      <c r="Q20" s="638"/>
      <c r="R20" s="638"/>
      <c r="S20" s="638"/>
      <c r="T20" s="644"/>
      <c r="U20" s="644"/>
      <c r="V20" s="644"/>
      <c r="W20" s="644"/>
      <c r="X20" s="644"/>
      <c r="Y20" s="644"/>
      <c r="Z20" s="644"/>
      <c r="AA20" s="644"/>
      <c r="AB20" s="644"/>
      <c r="AC20" s="644"/>
      <c r="AD20" s="644"/>
      <c r="AE20" s="644"/>
      <c r="AF20" s="644"/>
      <c r="AG20" s="1887"/>
      <c r="AH20" s="1887"/>
      <c r="AI20" s="1887"/>
      <c r="AJ20" s="1887"/>
      <c r="AK20" s="1887"/>
      <c r="AL20" s="1887"/>
    </row>
    <row r="21" spans="1:38" ht="18" customHeight="1" thickBot="1" x14ac:dyDescent="0.3">
      <c r="A21" s="1938"/>
      <c r="B21" s="1939" t="s">
        <v>738</v>
      </c>
      <c r="C21" s="1947"/>
      <c r="D21" s="1947"/>
      <c r="E21" s="960"/>
      <c r="F21" s="1598">
        <f>SUM(F15:F20)</f>
        <v>-15794216</v>
      </c>
      <c r="G21" s="1676">
        <f t="shared" ref="G21:I21" si="2">SUM(G15:G20)</f>
        <v>-15261310</v>
      </c>
      <c r="H21" s="1639">
        <f t="shared" si="2"/>
        <v>-15115206</v>
      </c>
      <c r="I21" s="1038">
        <f t="shared" si="2"/>
        <v>-15619082</v>
      </c>
      <c r="J21" s="236"/>
      <c r="K21" s="237"/>
      <c r="L21" s="238"/>
      <c r="M21" s="237"/>
      <c r="N21" s="229"/>
      <c r="O21" s="636"/>
      <c r="P21" s="951"/>
      <c r="Q21" s="951"/>
      <c r="R21" s="951"/>
      <c r="S21" s="951"/>
    </row>
    <row r="22" spans="1:38" ht="18" customHeight="1" thickTop="1" x14ac:dyDescent="0.25">
      <c r="A22" s="2003"/>
      <c r="B22" s="1948"/>
      <c r="C22" s="1942"/>
      <c r="D22" s="1942"/>
      <c r="E22" s="237"/>
      <c r="F22" s="1599"/>
      <c r="G22" s="1677"/>
      <c r="H22" s="1640"/>
      <c r="I22" s="1005"/>
      <c r="J22" s="236"/>
      <c r="K22" s="237"/>
      <c r="L22" s="238"/>
      <c r="M22" s="237"/>
      <c r="N22" s="229"/>
      <c r="O22" s="636"/>
      <c r="P22" s="951"/>
      <c r="Q22" s="951"/>
      <c r="R22" s="951"/>
      <c r="S22" s="951"/>
    </row>
    <row r="23" spans="1:38" s="1885" customFormat="1" ht="25.5" customHeight="1" x14ac:dyDescent="0.25">
      <c r="A23" s="2004"/>
      <c r="B23" s="2005" t="s">
        <v>739</v>
      </c>
      <c r="C23" s="2005"/>
      <c r="D23" s="2005"/>
      <c r="E23" s="1055"/>
      <c r="F23" s="1600">
        <f>SUM(F12,F21)</f>
        <v>52739420.530000001</v>
      </c>
      <c r="G23" s="1678">
        <f t="shared" ref="G23:I23" si="3">SUM(G12,G21)</f>
        <v>51564088</v>
      </c>
      <c r="H23" s="1641">
        <f t="shared" si="3"/>
        <v>53730078.796499997</v>
      </c>
      <c r="I23" s="1056">
        <f t="shared" si="3"/>
        <v>55867906.742217764</v>
      </c>
      <c r="J23" s="971"/>
      <c r="K23" s="967"/>
      <c r="L23" s="972"/>
      <c r="M23" s="967"/>
      <c r="N23" s="973"/>
      <c r="O23" s="974"/>
      <c r="P23" s="975"/>
      <c r="Q23" s="975"/>
      <c r="R23" s="975"/>
      <c r="S23" s="975"/>
      <c r="T23" s="220"/>
      <c r="U23" s="220"/>
      <c r="V23" s="220"/>
      <c r="W23" s="220"/>
      <c r="X23" s="220"/>
      <c r="Y23" s="220"/>
      <c r="Z23" s="220"/>
      <c r="AA23" s="220"/>
      <c r="AB23" s="220"/>
      <c r="AC23" s="220"/>
      <c r="AD23" s="220"/>
      <c r="AE23" s="220"/>
      <c r="AF23" s="220"/>
    </row>
    <row r="24" spans="1:38" ht="18" customHeight="1" x14ac:dyDescent="0.25">
      <c r="A24" s="2006"/>
      <c r="B24" s="1953"/>
      <c r="C24" s="1954"/>
      <c r="D24" s="1954"/>
      <c r="E24" s="1057"/>
      <c r="F24" s="1601"/>
      <c r="G24" s="1679"/>
      <c r="H24" s="1642"/>
      <c r="I24" s="1058"/>
      <c r="J24" s="236"/>
      <c r="K24" s="237"/>
      <c r="L24" s="238"/>
      <c r="M24" s="237"/>
      <c r="N24" s="229"/>
      <c r="O24" s="636"/>
      <c r="P24" s="951"/>
      <c r="Q24" s="951"/>
      <c r="R24" s="951"/>
      <c r="S24" s="951"/>
    </row>
    <row r="25" spans="1:38" ht="18" x14ac:dyDescent="0.25">
      <c r="A25" s="1988"/>
      <c r="B25" s="1928" t="s">
        <v>365</v>
      </c>
      <c r="C25" s="1929"/>
      <c r="D25" s="1929"/>
      <c r="E25" s="1022"/>
      <c r="F25" s="1595"/>
      <c r="G25" s="1674"/>
      <c r="H25" s="1637"/>
      <c r="I25" s="1023"/>
      <c r="J25" s="236"/>
      <c r="K25" s="237"/>
      <c r="L25" s="238"/>
      <c r="M25" s="237"/>
      <c r="N25" s="624"/>
    </row>
    <row r="26" spans="1:38" ht="19.5" x14ac:dyDescent="0.35">
      <c r="A26" s="1989"/>
      <c r="B26" s="1931"/>
      <c r="C26" s="1120" t="s">
        <v>366</v>
      </c>
      <c r="D26" s="1120"/>
      <c r="E26" s="918"/>
      <c r="F26" s="1602">
        <f>+'RS 00XX &amp; 1400'!D64+'RS 0653'!D32+'RS 0654'!D32+'RS 0655'!D32+'RS 1100'!D24</f>
        <v>31303916</v>
      </c>
      <c r="G26" s="1668">
        <f>+'RS 00XX &amp; 1400'!H64+'RS 0653'!H32+'RS 0654'!H32+'RS 0655'!H32+'RS 1100'!H24</f>
        <v>31592922</v>
      </c>
      <c r="H26" s="1631">
        <f>+'RS 00XX &amp; 1400'!L64+'RS 0653'!L32+'RS 0654'!L32+'RS 0655'!L32+'RS 1100'!L24</f>
        <v>31607103</v>
      </c>
      <c r="I26" s="1024">
        <f>+'RS 00XX &amp; 1400'!P64+'RS 0653'!P32+'RS 0654'!P32+'RS 0655'!P32+'RS 1100'!P24</f>
        <v>32072723</v>
      </c>
      <c r="J26" s="940" t="e">
        <f>(+I26*(1+#REF!))</f>
        <v>#REF!</v>
      </c>
      <c r="K26" s="939" t="e">
        <f>(+J26*(1+#REF!))</f>
        <v>#REF!</v>
      </c>
      <c r="L26" s="938" t="e">
        <f>(+K26*(1+#REF!))</f>
        <v>#REF!</v>
      </c>
      <c r="M26" s="315"/>
      <c r="N26" s="234"/>
      <c r="O26" s="949"/>
      <c r="P26" s="949"/>
      <c r="Q26" s="949"/>
      <c r="R26" s="1528"/>
      <c r="S26" s="1528"/>
      <c r="T26" s="1528"/>
      <c r="AH26" s="1890"/>
    </row>
    <row r="27" spans="1:38" ht="18" x14ac:dyDescent="0.25">
      <c r="A27" s="1991"/>
      <c r="B27" s="1933"/>
      <c r="C27" s="1109" t="s">
        <v>367</v>
      </c>
      <c r="D27" s="1109"/>
      <c r="E27" s="919"/>
      <c r="F27" s="1603">
        <f>+'RS 00XX &amp; 1400'!D79+'RS 0653'!D43+'RS 0654'!D43+'RS 0655'!D43+'RS 1100'!D31</f>
        <v>6793388</v>
      </c>
      <c r="G27" s="1670">
        <f>+'RS 00XX &amp; 1400'!H79+'RS 0653'!H43+'RS 0654'!H43+'RS 0655'!H43+'RS 1100'!H31</f>
        <v>7101321</v>
      </c>
      <c r="H27" s="1633">
        <f>+'RS 00XX &amp; 1400'!L79+'RS 0653'!L43+'RS 0654'!L43+'RS 0655'!L43+'RS 1100'!L31</f>
        <v>7200804</v>
      </c>
      <c r="I27" s="1000">
        <f>+'RS 00XX &amp; 1400'!P79+'RS 0653'!P43+'RS 0654'!P43+'RS 0655'!P43+'RS 1100'!P31</f>
        <v>7306854</v>
      </c>
      <c r="J27" s="925" t="e">
        <f>+I27*(1+#REF!)</f>
        <v>#REF!</v>
      </c>
      <c r="K27" s="919" t="e">
        <f>+J27*(1+#REF!)</f>
        <v>#REF!</v>
      </c>
      <c r="L27" s="921" t="e">
        <f>+K27*(1+#REF!)</f>
        <v>#REF!</v>
      </c>
      <c r="M27" s="233"/>
      <c r="N27" s="228"/>
      <c r="O27" s="949"/>
      <c r="P27" s="949"/>
      <c r="Q27" s="949"/>
      <c r="R27" s="1528"/>
      <c r="S27" s="1528"/>
      <c r="T27" s="1528"/>
      <c r="U27" s="644"/>
      <c r="V27" s="644"/>
      <c r="W27" s="644"/>
      <c r="X27" s="644"/>
      <c r="Y27" s="644"/>
      <c r="Z27" s="644"/>
      <c r="AA27" s="644"/>
      <c r="AB27" s="644"/>
      <c r="AC27" s="644"/>
      <c r="AD27" s="644"/>
      <c r="AE27" s="644"/>
      <c r="AF27" s="644"/>
      <c r="AG27" s="1887"/>
      <c r="AH27" s="1891"/>
      <c r="AI27" s="1887"/>
      <c r="AJ27" s="1887"/>
      <c r="AK27" s="1887"/>
      <c r="AL27" s="1887"/>
    </row>
    <row r="28" spans="1:38" ht="20.25" hidden="1" x14ac:dyDescent="0.3">
      <c r="A28" s="2007"/>
      <c r="B28" s="1110"/>
      <c r="C28" s="1110"/>
      <c r="D28" s="2008"/>
      <c r="E28" s="946"/>
      <c r="F28" s="1604"/>
      <c r="G28" s="1680"/>
      <c r="H28" s="1643"/>
      <c r="I28" s="1039"/>
      <c r="J28" s="925"/>
      <c r="K28" s="919"/>
      <c r="L28" s="921"/>
      <c r="M28" s="233"/>
      <c r="N28" s="228"/>
      <c r="O28" s="949"/>
      <c r="P28" s="949"/>
      <c r="Q28" s="949"/>
      <c r="R28" s="1528"/>
      <c r="S28" s="1528"/>
      <c r="T28" s="1528"/>
      <c r="U28" s="644"/>
      <c r="V28" s="644"/>
      <c r="W28" s="644"/>
      <c r="X28" s="644"/>
      <c r="Y28" s="644"/>
      <c r="Z28" s="644"/>
      <c r="AA28" s="644"/>
      <c r="AB28" s="644"/>
      <c r="AC28" s="644"/>
      <c r="AD28" s="644"/>
      <c r="AE28" s="644"/>
      <c r="AF28" s="644"/>
      <c r="AG28" s="1887"/>
      <c r="AH28" s="1887"/>
      <c r="AI28" s="1887"/>
      <c r="AJ28" s="1887"/>
      <c r="AK28" s="1887"/>
      <c r="AL28" s="1887"/>
    </row>
    <row r="29" spans="1:38" ht="18" hidden="1" x14ac:dyDescent="0.25">
      <c r="A29" s="2007"/>
      <c r="B29" s="1110"/>
      <c r="C29" s="1111"/>
      <c r="D29" s="1111"/>
      <c r="E29" s="948"/>
      <c r="F29" s="1605"/>
      <c r="G29" s="1681"/>
      <c r="H29" s="1644"/>
      <c r="I29" s="1041"/>
      <c r="J29" s="925"/>
      <c r="K29" s="919"/>
      <c r="L29" s="921"/>
      <c r="N29" s="1193"/>
      <c r="O29" s="949"/>
      <c r="P29" s="949"/>
      <c r="Q29" s="949"/>
      <c r="R29" s="1528"/>
      <c r="S29" s="1528"/>
      <c r="T29" s="1528"/>
      <c r="U29" s="644"/>
      <c r="V29" s="644"/>
      <c r="W29" s="644"/>
      <c r="X29" s="644"/>
      <c r="Y29" s="644"/>
      <c r="Z29" s="644"/>
      <c r="AA29" s="644"/>
      <c r="AB29" s="644"/>
      <c r="AC29" s="644"/>
      <c r="AD29" s="644"/>
      <c r="AE29" s="644"/>
      <c r="AF29" s="644"/>
      <c r="AG29" s="1887"/>
      <c r="AH29" s="1887"/>
      <c r="AI29" s="1887"/>
      <c r="AJ29" s="1887"/>
      <c r="AK29" s="1887"/>
      <c r="AL29" s="1887"/>
    </row>
    <row r="30" spans="1:38" ht="18" hidden="1" x14ac:dyDescent="0.25">
      <c r="A30" s="2007"/>
      <c r="B30" s="1110"/>
      <c r="C30" s="1111"/>
      <c r="D30" s="1111"/>
      <c r="E30" s="948"/>
      <c r="F30" s="1606"/>
      <c r="G30" s="1682"/>
      <c r="H30" s="1645"/>
      <c r="I30" s="1040"/>
      <c r="J30" s="925"/>
      <c r="K30" s="919"/>
      <c r="L30" s="921"/>
      <c r="M30" s="233"/>
      <c r="N30" s="228"/>
      <c r="O30" s="949"/>
      <c r="P30" s="949"/>
      <c r="Q30" s="949"/>
      <c r="R30" s="1528"/>
      <c r="S30" s="1528"/>
      <c r="T30" s="1528"/>
      <c r="U30" s="644"/>
      <c r="V30" s="644"/>
      <c r="W30" s="644"/>
      <c r="X30" s="644"/>
      <c r="Y30" s="644"/>
      <c r="Z30" s="644"/>
      <c r="AA30" s="644"/>
      <c r="AB30" s="644"/>
      <c r="AC30" s="644"/>
      <c r="AD30" s="644"/>
      <c r="AE30" s="644"/>
      <c r="AF30" s="644"/>
      <c r="AG30" s="1887"/>
      <c r="AH30" s="1887"/>
      <c r="AI30" s="1887"/>
      <c r="AJ30" s="1887"/>
      <c r="AK30" s="1887"/>
      <c r="AL30" s="1887"/>
    </row>
    <row r="31" spans="1:38" ht="20.25" hidden="1" x14ac:dyDescent="0.3">
      <c r="A31" s="2009"/>
      <c r="B31" s="2008"/>
      <c r="C31" s="2010"/>
      <c r="D31" s="2010"/>
      <c r="E31" s="959"/>
      <c r="F31" s="1607"/>
      <c r="G31" s="1683"/>
      <c r="H31" s="1646"/>
      <c r="I31" s="1042"/>
      <c r="J31" s="925"/>
      <c r="K31" s="919"/>
      <c r="L31" s="921"/>
      <c r="M31" s="233"/>
      <c r="N31" s="228"/>
      <c r="O31" s="949"/>
      <c r="P31" s="949"/>
      <c r="Q31" s="949"/>
      <c r="R31" s="1528"/>
      <c r="S31" s="1528"/>
      <c r="T31" s="1528"/>
      <c r="U31" s="644"/>
      <c r="V31" s="644"/>
      <c r="W31" s="644"/>
      <c r="X31" s="644"/>
      <c r="Y31" s="644"/>
      <c r="Z31" s="644"/>
      <c r="AA31" s="644"/>
      <c r="AB31" s="644"/>
      <c r="AC31" s="644"/>
      <c r="AD31" s="644"/>
      <c r="AE31" s="644"/>
      <c r="AF31" s="644"/>
      <c r="AG31" s="1887"/>
      <c r="AH31" s="1887"/>
      <c r="AI31" s="1887"/>
      <c r="AJ31" s="1887"/>
      <c r="AK31" s="1887"/>
      <c r="AL31" s="1887"/>
    </row>
    <row r="32" spans="1:38" s="1893" customFormat="1" ht="18" x14ac:dyDescent="0.25">
      <c r="A32" s="1991"/>
      <c r="B32" s="1933"/>
      <c r="C32" s="1109" t="s">
        <v>368</v>
      </c>
      <c r="D32" s="1109"/>
      <c r="E32" s="919"/>
      <c r="F32" s="1603"/>
      <c r="G32" s="1670"/>
      <c r="H32" s="1633"/>
      <c r="I32" s="1000"/>
      <c r="J32" s="925"/>
      <c r="K32" s="919"/>
      <c r="L32" s="921"/>
      <c r="M32" s="233"/>
      <c r="N32" s="241"/>
      <c r="O32" s="949"/>
      <c r="P32" s="949"/>
      <c r="Q32" s="949"/>
      <c r="R32" s="1528"/>
      <c r="S32" s="1528"/>
      <c r="T32" s="1528"/>
      <c r="U32" s="638"/>
      <c r="V32" s="638"/>
      <c r="W32" s="638"/>
      <c r="X32" s="638"/>
      <c r="Y32" s="638"/>
      <c r="Z32" s="638"/>
      <c r="AA32" s="638"/>
      <c r="AB32" s="638"/>
      <c r="AC32" s="638"/>
      <c r="AD32" s="638"/>
      <c r="AE32" s="638"/>
      <c r="AF32" s="649"/>
      <c r="AG32" s="1892"/>
      <c r="AH32" s="1892"/>
      <c r="AI32" s="1892"/>
      <c r="AJ32" s="1892"/>
      <c r="AK32" s="1892"/>
      <c r="AL32" s="1892"/>
    </row>
    <row r="33" spans="1:38" ht="18" x14ac:dyDescent="0.25">
      <c r="A33" s="1991"/>
      <c r="B33" s="1933"/>
      <c r="C33" s="1109"/>
      <c r="D33" s="1934" t="s">
        <v>76</v>
      </c>
      <c r="E33" s="922"/>
      <c r="F33" s="1608">
        <f>+'RS 00XX &amp; 1400'!D82+'RS 0653'!D46+'RS 0654'!D46+'RS 0655'!D46</f>
        <v>3946111</v>
      </c>
      <c r="G33" s="1669">
        <f>+'RS 00XX &amp; 1400'!H82+'RS 0653'!H46+'RS 0654'!H46+'RS 0655'!H46+'RS 1100'!H34</f>
        <v>4583401</v>
      </c>
      <c r="H33" s="1632">
        <f>+'RS 00XX &amp; 1400'!L82+'RS 0653'!L46+'RS 0654'!L46+'RS 0655'!L46+'RS 1100'!L34</f>
        <v>5145637</v>
      </c>
      <c r="I33" s="1001">
        <f>+'RS 00XX &amp; 1400'!P82+'RS 0653'!P46+'RS 0654'!P46+'RS 0655'!P46+'RS 1100'!P34</f>
        <v>5814785</v>
      </c>
      <c r="J33" s="926">
        <v>6164433.5664931554</v>
      </c>
      <c r="K33" s="922">
        <v>6862934.8935236689</v>
      </c>
      <c r="L33" s="924">
        <v>7581004.2628126368</v>
      </c>
      <c r="M33" s="320"/>
      <c r="N33" s="229"/>
      <c r="O33" s="949"/>
      <c r="P33" s="949"/>
      <c r="Q33" s="949"/>
      <c r="R33" s="1528"/>
      <c r="S33" s="1528"/>
      <c r="T33" s="1528"/>
      <c r="U33" s="650"/>
      <c r="V33" s="641"/>
      <c r="W33" s="638"/>
      <c r="X33" s="638"/>
      <c r="Y33" s="638"/>
      <c r="Z33" s="638"/>
      <c r="AA33" s="638"/>
      <c r="AB33" s="637"/>
      <c r="AC33" s="638"/>
      <c r="AD33" s="638"/>
      <c r="AE33" s="638"/>
      <c r="AF33" s="638"/>
      <c r="AG33" s="1887"/>
      <c r="AH33" s="1894"/>
      <c r="AI33" s="1895"/>
      <c r="AJ33" s="1895"/>
      <c r="AK33" s="1895"/>
      <c r="AL33" s="1895"/>
    </row>
    <row r="34" spans="1:38" ht="19.5" x14ac:dyDescent="0.35">
      <c r="A34" s="1991"/>
      <c r="B34" s="1933"/>
      <c r="C34" s="1109"/>
      <c r="D34" s="1934" t="s">
        <v>77</v>
      </c>
      <c r="E34" s="922"/>
      <c r="F34" s="1608">
        <f>+'RS 00XX &amp; 1400'!D83+'RS 0653'!D47+'RS 0654'!D47+'RS 0655'!D47</f>
        <v>841998</v>
      </c>
      <c r="G34" s="1669">
        <f>+'RS 00XX &amp; 1400'!H83+'RS 0653'!H47+'RS 0654'!H47+'RS 0655'!H47+'RS 1100'!H35</f>
        <v>1076497</v>
      </c>
      <c r="H34" s="1632">
        <f>+'RS 00XX &amp; 1400'!L83+'RS 0653'!L47+'RS 0654'!L47+'RS 0655'!L47+'RS 1100'!L35</f>
        <v>1303345</v>
      </c>
      <c r="I34" s="1001">
        <f>+'RS 00XX &amp; 1400'!P83+'RS 0653'!P47+'RS 0654'!P47+'RS 0655'!P47+'RS 1100'!P35</f>
        <v>1519827</v>
      </c>
      <c r="J34" s="926">
        <v>1773281.2504106092</v>
      </c>
      <c r="K34" s="922">
        <v>1908307.0034539229</v>
      </c>
      <c r="L34" s="924">
        <v>2010300.2300400396</v>
      </c>
      <c r="M34" s="320"/>
      <c r="N34" s="229"/>
      <c r="O34" s="949"/>
      <c r="P34" s="949"/>
      <c r="Q34" s="949"/>
      <c r="R34" s="1528"/>
      <c r="S34" s="1528"/>
      <c r="T34" s="1528"/>
      <c r="U34" s="650"/>
      <c r="V34" s="643"/>
      <c r="W34" s="638"/>
      <c r="X34" s="638"/>
      <c r="Y34" s="638"/>
      <c r="Z34" s="638"/>
      <c r="AA34" s="639"/>
      <c r="AB34" s="639"/>
      <c r="AC34" s="638"/>
      <c r="AD34" s="638"/>
      <c r="AE34" s="638"/>
      <c r="AF34" s="638"/>
      <c r="AG34" s="1887"/>
      <c r="AH34" s="1894"/>
      <c r="AI34" s="1895"/>
      <c r="AJ34" s="1895"/>
      <c r="AK34" s="1895"/>
      <c r="AL34" s="1895"/>
    </row>
    <row r="35" spans="1:38" ht="18" x14ac:dyDescent="0.25">
      <c r="A35" s="1991"/>
      <c r="B35" s="1933"/>
      <c r="C35" s="1109"/>
      <c r="D35" s="1109" t="s">
        <v>410</v>
      </c>
      <c r="E35" s="919"/>
      <c r="F35" s="1609">
        <f>+'RS 00XX &amp; 1400'!D84+'RS 0653'!D48+'RS 0654'!D48+'RS 0655'!D48</f>
        <v>381476</v>
      </c>
      <c r="G35" s="1670">
        <f>+'RS 00XX &amp; 1400'!H84+'RS 0653'!H48+'RS 0654'!H48+'RS 0655'!H48+'RS 1100'!H36</f>
        <v>431361</v>
      </c>
      <c r="H35" s="1633">
        <f>+'RS 00XX &amp; 1400'!L84+'RS 0653'!L48+'RS 0654'!L48+'RS 0655'!L48+'RS 1100'!L36</f>
        <v>446450</v>
      </c>
      <c r="I35" s="1000">
        <f>+'RS 00XX &amp; 1400'!P84+'RS 0653'!P48+'RS 0654'!P48+'RS 0655'!P48+'RS 1100'!P36</f>
        <v>453025</v>
      </c>
      <c r="J35" s="927">
        <v>441539.90974079422</v>
      </c>
      <c r="K35" s="919">
        <v>448163.00838690612</v>
      </c>
      <c r="L35" s="921">
        <v>454885.45351270965</v>
      </c>
      <c r="M35" s="233"/>
      <c r="N35" s="229"/>
      <c r="O35" s="949"/>
      <c r="P35" s="949"/>
      <c r="Q35" s="949"/>
      <c r="R35" s="1528"/>
      <c r="S35" s="1528"/>
      <c r="T35" s="1528"/>
      <c r="U35" s="650"/>
      <c r="V35" s="643"/>
      <c r="W35" s="638"/>
      <c r="X35" s="638"/>
      <c r="Y35" s="638"/>
      <c r="Z35" s="638"/>
      <c r="AA35" s="638"/>
      <c r="AB35" s="638"/>
      <c r="AC35" s="638"/>
      <c r="AD35" s="638"/>
      <c r="AE35" s="638"/>
      <c r="AF35" s="638"/>
      <c r="AG35" s="1887"/>
      <c r="AH35" s="1894"/>
      <c r="AI35" s="1895"/>
      <c r="AJ35" s="1895"/>
      <c r="AK35" s="1895"/>
      <c r="AL35" s="1895"/>
    </row>
    <row r="36" spans="1:38" ht="19.5" x14ac:dyDescent="0.35">
      <c r="A36" s="1991"/>
      <c r="B36" s="1933"/>
      <c r="C36" s="1109"/>
      <c r="D36" s="1109" t="s">
        <v>79</v>
      </c>
      <c r="E36" s="919"/>
      <c r="F36" s="1609">
        <f>+'RS 00XX &amp; 1400'!D85+'RS 0653'!D49+'RS 0654'!D49+'RS 0655'!D49</f>
        <v>536263</v>
      </c>
      <c r="G36" s="1670">
        <f>+'RS 00XX &amp; 1400'!H85+'RS 0653'!H49+'RS 0654'!H49+'RS 0655'!H49+'RS 1100'!H37</f>
        <v>565639</v>
      </c>
      <c r="H36" s="1633">
        <f>+'RS 00XX &amp; 1400'!L85+'RS 0653'!L49+'RS 0654'!L49+'RS 0655'!L49+'RS 1100'!L37</f>
        <v>562714</v>
      </c>
      <c r="I36" s="1000">
        <f>+'RS 00XX &amp; 1400'!P85+'RS 0653'!P49+'RS 0654'!P49+'RS 0655'!P49+'RS 1100'!P37</f>
        <v>571004</v>
      </c>
      <c r="J36" s="927">
        <v>571243.92470059753</v>
      </c>
      <c r="K36" s="919">
        <v>579812.58357110654</v>
      </c>
      <c r="L36" s="921">
        <v>588509.77232467302</v>
      </c>
      <c r="M36" s="233"/>
      <c r="N36" s="243"/>
      <c r="O36" s="949"/>
      <c r="P36" s="949"/>
      <c r="Q36" s="949"/>
      <c r="R36" s="1528"/>
      <c r="S36" s="1528"/>
      <c r="T36" s="1528"/>
      <c r="U36" s="651"/>
      <c r="V36" s="643"/>
      <c r="W36" s="638"/>
      <c r="X36" s="638"/>
      <c r="Y36" s="638"/>
      <c r="Z36" s="638"/>
      <c r="AA36" s="641"/>
      <c r="AB36" s="641"/>
      <c r="AC36" s="638"/>
      <c r="AD36" s="638"/>
      <c r="AE36" s="638"/>
      <c r="AF36" s="638"/>
      <c r="AG36" s="1887"/>
      <c r="AH36" s="1894"/>
      <c r="AI36" s="1895"/>
      <c r="AJ36" s="1895"/>
      <c r="AK36" s="1895"/>
      <c r="AL36" s="1895"/>
    </row>
    <row r="37" spans="1:38" ht="18" x14ac:dyDescent="0.25">
      <c r="A37" s="1991"/>
      <c r="B37" s="1933"/>
      <c r="C37" s="1109"/>
      <c r="D37" s="1957" t="s">
        <v>80</v>
      </c>
      <c r="E37" s="919"/>
      <c r="F37" s="1609">
        <f>+'RS 00XX &amp; 1400'!D86+'RS 0653'!D50+'RS 0654'!D50+'RS 0655'!D50</f>
        <v>3937752</v>
      </c>
      <c r="G37" s="1670">
        <f>+'RS 00XX &amp; 1400'!H86+'RS 0653'!H50+'RS 0654'!H50+'RS 0655'!H50+'RS 1100'!H38</f>
        <v>4208852</v>
      </c>
      <c r="H37" s="1633">
        <f>+'RS 00XX &amp; 1400'!L86+'RS 0653'!L50+'RS 0654'!L50+'RS 0655'!L50+'RS 1100'!L38</f>
        <v>4503472</v>
      </c>
      <c r="I37" s="1000">
        <f>+'RS 00XX &amp; 1400'!P86+'RS 0653'!P50+'RS 0654'!P50+'RS 0655'!P50+'RS 1100'!P38</f>
        <v>4818716</v>
      </c>
      <c r="J37" s="927">
        <v>19698.066368986121</v>
      </c>
      <c r="K37" s="919">
        <v>19993.537364520915</v>
      </c>
      <c r="L37" s="921">
        <v>20293.440424988727</v>
      </c>
      <c r="M37" s="233"/>
      <c r="N37" s="229"/>
      <c r="O37" s="949"/>
      <c r="P37" s="949"/>
      <c r="Q37" s="949"/>
      <c r="R37" s="1528"/>
      <c r="S37" s="1528"/>
      <c r="T37" s="1528"/>
      <c r="U37" s="650"/>
      <c r="V37" s="643"/>
      <c r="W37" s="638"/>
      <c r="X37" s="638"/>
      <c r="Y37" s="638"/>
      <c r="Z37" s="638"/>
      <c r="AA37" s="641"/>
      <c r="AB37" s="641"/>
      <c r="AC37" s="638"/>
      <c r="AD37" s="638"/>
      <c r="AE37" s="638"/>
      <c r="AF37" s="638"/>
      <c r="AG37" s="1887"/>
      <c r="AH37" s="1894"/>
      <c r="AI37" s="1895"/>
      <c r="AJ37" s="1895"/>
      <c r="AK37" s="1895"/>
      <c r="AL37" s="1895"/>
    </row>
    <row r="38" spans="1:38" ht="18" x14ac:dyDescent="0.25">
      <c r="A38" s="1991"/>
      <c r="B38" s="1933"/>
      <c r="C38" s="1109"/>
      <c r="D38" s="1109" t="s">
        <v>81</v>
      </c>
      <c r="E38" s="919"/>
      <c r="F38" s="1609">
        <f>+'RS 00XX &amp; 1400'!D87+'RS 0653'!D51+'RS 0654'!D51+'RS 0655'!D51</f>
        <v>18726</v>
      </c>
      <c r="G38" s="1670">
        <f>+'RS 00XX &amp; 1400'!H87+'RS 0653'!H51+'RS 0654'!H51+'RS 0655'!H51+'RS 1100'!H39</f>
        <v>19544</v>
      </c>
      <c r="H38" s="1633">
        <f>+'RS 00XX &amp; 1400'!L87+'RS 0653'!L51+'RS 0654'!L51+'RS 0655'!L51+'RS 1100'!L39</f>
        <v>19403</v>
      </c>
      <c r="I38" s="1000">
        <f>+'RS 00XX &amp; 1400'!P87+'RS 0653'!P51+'RS 0654'!P51+'RS 0655'!P51+'RS 1100'!P39</f>
        <v>19690</v>
      </c>
      <c r="J38" s="927">
        <v>393961.3273797225</v>
      </c>
      <c r="K38" s="919">
        <v>399870.74729041825</v>
      </c>
      <c r="L38" s="921">
        <v>405868.80849977449</v>
      </c>
      <c r="M38" s="233"/>
      <c r="O38" s="949"/>
      <c r="P38" s="949"/>
      <c r="Q38" s="949"/>
      <c r="R38" s="1528"/>
      <c r="S38" s="1528"/>
      <c r="T38" s="1528"/>
      <c r="U38" s="644"/>
      <c r="V38" s="643"/>
      <c r="W38" s="638"/>
      <c r="X38" s="638"/>
      <c r="Y38" s="638"/>
      <c r="Z38" s="638"/>
      <c r="AA38" s="643"/>
      <c r="AB38" s="643"/>
      <c r="AC38" s="638"/>
      <c r="AD38" s="638"/>
      <c r="AE38" s="638"/>
      <c r="AF38" s="638"/>
      <c r="AG38" s="1887"/>
      <c r="AH38" s="1894"/>
      <c r="AI38" s="1895"/>
      <c r="AJ38" s="1895"/>
      <c r="AK38" s="1895"/>
      <c r="AL38" s="1895"/>
    </row>
    <row r="39" spans="1:38" ht="18" x14ac:dyDescent="0.25">
      <c r="A39" s="2011"/>
      <c r="B39" s="1956"/>
      <c r="C39" s="1957"/>
      <c r="D39" s="1109" t="s">
        <v>82</v>
      </c>
      <c r="E39" s="928"/>
      <c r="F39" s="1609">
        <f>+'RS 00XX &amp; 1400'!D88+'RS 0653'!D52+'RS 0654'!D52+'RS 0655'!D52</f>
        <v>412148.77</v>
      </c>
      <c r="G39" s="1684">
        <f>+'RS 00XX &amp; 1400'!H88+'RS 0653'!H52+'RS 0654'!H52+'RS 0655'!H52+'RS 1100'!H40</f>
        <v>429112</v>
      </c>
      <c r="H39" s="1647">
        <f>+'RS 00XX &amp; 1400'!L88+'RS 0653'!L52+'RS 0654'!L52+'RS 0655'!L52+'RS 1100'!L40</f>
        <v>426886</v>
      </c>
      <c r="I39" s="1009">
        <f>+'RS 00XX &amp; 1400'!P88+'RS 0653'!P52+'RS 0654'!P52+'RS 0655'!P52+'RS 1100'!P40</f>
        <v>433175</v>
      </c>
      <c r="J39" s="927">
        <v>5578501.4882336259</v>
      </c>
      <c r="K39" s="928">
        <v>5857426.5626453077</v>
      </c>
      <c r="L39" s="929">
        <v>6150297.890777573</v>
      </c>
      <c r="M39" s="327"/>
      <c r="O39" s="949"/>
      <c r="P39" s="949"/>
      <c r="Q39" s="949"/>
      <c r="R39" s="1528"/>
      <c r="S39" s="1528"/>
      <c r="T39" s="1528"/>
      <c r="U39" s="644"/>
      <c r="V39" s="643"/>
      <c r="W39" s="638"/>
      <c r="X39" s="638"/>
      <c r="Y39" s="638"/>
      <c r="Z39" s="638"/>
      <c r="AA39" s="644"/>
      <c r="AB39" s="644"/>
      <c r="AC39" s="638"/>
      <c r="AD39" s="638"/>
      <c r="AE39" s="638"/>
      <c r="AF39" s="638"/>
      <c r="AG39" s="1887"/>
      <c r="AH39" s="1894"/>
      <c r="AI39" s="1895"/>
      <c r="AJ39" s="1895"/>
      <c r="AK39" s="1895"/>
      <c r="AL39" s="1895"/>
    </row>
    <row r="40" spans="1:38" ht="18" x14ac:dyDescent="0.25">
      <c r="A40" s="2011"/>
      <c r="B40" s="1956"/>
      <c r="C40" s="1957"/>
      <c r="D40" s="1109" t="s">
        <v>92</v>
      </c>
      <c r="E40" s="928"/>
      <c r="F40" s="1609">
        <f>+'RS 00XX &amp; 1400'!D89</f>
        <v>337621</v>
      </c>
      <c r="G40" s="1684">
        <f>+'RS 00XX &amp; 1400'!H89</f>
        <v>415604</v>
      </c>
      <c r="H40" s="1647">
        <f>+'RS 00XX &amp; 1400'!L89</f>
        <v>415604</v>
      </c>
      <c r="I40" s="1009">
        <f>+'RS 00XX &amp; 1400'!P89</f>
        <v>415604</v>
      </c>
      <c r="J40" s="927"/>
      <c r="K40" s="928"/>
      <c r="L40" s="929"/>
      <c r="M40" s="327"/>
      <c r="O40" s="949"/>
      <c r="P40" s="949"/>
      <c r="Q40" s="949"/>
      <c r="R40" s="1528"/>
      <c r="S40" s="1528"/>
      <c r="T40" s="1528"/>
      <c r="U40" s="644"/>
      <c r="V40" s="643"/>
      <c r="W40" s="638"/>
      <c r="X40" s="638"/>
      <c r="Y40" s="638"/>
      <c r="Z40" s="638"/>
      <c r="AA40" s="644"/>
      <c r="AB40" s="644"/>
      <c r="AC40" s="638"/>
      <c r="AD40" s="638"/>
      <c r="AE40" s="638"/>
      <c r="AF40" s="638"/>
      <c r="AG40" s="1887"/>
      <c r="AH40" s="1894"/>
      <c r="AI40" s="1895"/>
      <c r="AJ40" s="1895"/>
      <c r="AK40" s="1895"/>
      <c r="AL40" s="1895"/>
    </row>
    <row r="41" spans="1:38" ht="18" x14ac:dyDescent="0.25">
      <c r="A41" s="2011"/>
      <c r="B41" s="1956"/>
      <c r="C41" s="1957"/>
      <c r="D41" s="1109" t="s">
        <v>93</v>
      </c>
      <c r="E41" s="928"/>
      <c r="F41" s="1609">
        <f>+'RS 00XX &amp; 1400'!D90+'RS 0653'!D53+'RS 0654'!D53+'RS 0655'!D53</f>
        <v>318081</v>
      </c>
      <c r="G41" s="1684">
        <f>+'RS 00XX &amp; 1400'!H90+'RS 0653'!H53+'RS 0654'!L53+'RS 0655'!H53</f>
        <v>349783</v>
      </c>
      <c r="H41" s="1647">
        <f>+'RS 00XX &amp; 1400'!L90+'RS 0653'!L53+'RS 0654'!L53+'RS 0655'!L53</f>
        <v>373128</v>
      </c>
      <c r="I41" s="1009">
        <f>+'RS 00XX &amp; 1400'!P90+'RS 0653'!P53+'RS 0654'!P53+'RS 0655'!P53</f>
        <v>398107</v>
      </c>
      <c r="J41" s="927"/>
      <c r="K41" s="928"/>
      <c r="L41" s="929"/>
      <c r="M41" s="327"/>
      <c r="O41" s="949"/>
      <c r="P41" s="949"/>
      <c r="Q41" s="949"/>
      <c r="R41" s="1528"/>
      <c r="S41" s="1528"/>
      <c r="T41" s="1528"/>
      <c r="U41" s="644"/>
      <c r="V41" s="643"/>
      <c r="W41" s="638"/>
      <c r="X41" s="638"/>
      <c r="Y41" s="638"/>
      <c r="Z41" s="638"/>
      <c r="AA41" s="644"/>
      <c r="AB41" s="644"/>
      <c r="AC41" s="638"/>
      <c r="AD41" s="638"/>
      <c r="AE41" s="638"/>
      <c r="AF41" s="638"/>
      <c r="AG41" s="1887"/>
      <c r="AH41" s="1894"/>
      <c r="AI41" s="1895"/>
      <c r="AJ41" s="1895"/>
      <c r="AK41" s="1895"/>
      <c r="AL41" s="1895"/>
    </row>
    <row r="42" spans="1:38" ht="27" customHeight="1" x14ac:dyDescent="0.25">
      <c r="A42" s="1991"/>
      <c r="B42" s="1933"/>
      <c r="C42" s="1109" t="s">
        <v>370</v>
      </c>
      <c r="D42" s="1109"/>
      <c r="E42" s="919"/>
      <c r="F42" s="1596">
        <f>+'RS 00XX &amp; 1400'!D107+'RS 0653'!D71+'RS 0654'!D71+'RS 0655'!D71+'RS 1100'!D59</f>
        <v>1106507</v>
      </c>
      <c r="G42" s="1670">
        <f>+'RS 00XX &amp; 1400'!H107+'RS 0653'!H71+'RS 0654'!H71+'RS 0655'!H71+'RS 1100'!H59</f>
        <v>1113619</v>
      </c>
      <c r="H42" s="1633">
        <f>+'RS 00XX &amp; 1400'!L107+'RS 0653'!L71+'RS 0654'!L71+'RS 0655'!L71+'RS 1100'!L59</f>
        <v>698250</v>
      </c>
      <c r="I42" s="1000">
        <f>+'RS 00XX &amp; 1400'!P107+'RS 0653'!P71+'RS 0654'!P71+'RS 0655'!P71+'RS 1100'!P59</f>
        <v>698250</v>
      </c>
      <c r="J42" s="921" t="e">
        <f>(+I42)*(1+#REF!)</f>
        <v>#REF!</v>
      </c>
      <c r="K42" s="919" t="e">
        <f>(+J42)*(1+#REF!)</f>
        <v>#REF!</v>
      </c>
      <c r="L42" s="921" t="e">
        <f>(+K42)*(1+#REF!)</f>
        <v>#REF!</v>
      </c>
      <c r="M42" s="233"/>
      <c r="O42" s="949"/>
      <c r="P42" s="949"/>
      <c r="Q42" s="949"/>
      <c r="R42" s="1528"/>
      <c r="S42" s="1528"/>
      <c r="T42" s="1528"/>
      <c r="U42" s="644"/>
      <c r="V42" s="643"/>
      <c r="W42" s="641"/>
      <c r="X42" s="641"/>
      <c r="Y42" s="641"/>
      <c r="Z42" s="641"/>
      <c r="AA42" s="644"/>
      <c r="AB42" s="644"/>
      <c r="AC42" s="641"/>
      <c r="AD42" s="641"/>
      <c r="AE42" s="641"/>
      <c r="AF42" s="641"/>
      <c r="AG42" s="1895"/>
      <c r="AH42" s="1895"/>
      <c r="AI42" s="1895"/>
      <c r="AJ42" s="1895"/>
      <c r="AK42" s="1895"/>
      <c r="AL42" s="1895"/>
    </row>
    <row r="43" spans="1:38" s="1893" customFormat="1" ht="36" customHeight="1" x14ac:dyDescent="0.35">
      <c r="A43" s="2011"/>
      <c r="B43" s="1956"/>
      <c r="C43" s="1957"/>
      <c r="D43" s="1961" t="s">
        <v>697</v>
      </c>
      <c r="E43" s="930"/>
      <c r="F43" s="1610">
        <f>+'RS 0617'!D66</f>
        <v>1933570.77</v>
      </c>
      <c r="G43" s="1685">
        <f>+'RS 0617'!H66</f>
        <v>1788880</v>
      </c>
      <c r="H43" s="1648">
        <f>+'RS 0617'!L66</f>
        <v>0</v>
      </c>
      <c r="I43" s="1010">
        <f>+'RS 0617'!P66</f>
        <v>0</v>
      </c>
      <c r="J43" s="931">
        <v>550000</v>
      </c>
      <c r="K43" s="930">
        <v>350000</v>
      </c>
      <c r="L43" s="931">
        <v>1369212</v>
      </c>
      <c r="M43" s="332"/>
      <c r="N43" s="240"/>
      <c r="O43" s="1530"/>
      <c r="P43" s="1530"/>
      <c r="Q43" s="1530"/>
      <c r="R43" s="1528"/>
      <c r="S43" s="1528"/>
      <c r="T43" s="1528"/>
      <c r="U43" s="649"/>
      <c r="V43" s="637"/>
      <c r="W43" s="639"/>
      <c r="X43" s="639"/>
      <c r="Y43" s="639"/>
      <c r="Z43" s="639"/>
      <c r="AA43" s="649"/>
      <c r="AB43" s="649"/>
      <c r="AC43" s="637"/>
      <c r="AD43" s="626"/>
      <c r="AE43" s="626"/>
      <c r="AF43" s="626"/>
      <c r="AG43" s="1896"/>
      <c r="AH43" s="1892"/>
      <c r="AI43" s="1892"/>
      <c r="AJ43" s="1892"/>
      <c r="AK43" s="1892"/>
      <c r="AL43" s="1892"/>
    </row>
    <row r="44" spans="1:38" ht="25.5" customHeight="1" x14ac:dyDescent="0.25">
      <c r="A44" s="1991"/>
      <c r="B44" s="1933"/>
      <c r="C44" s="1109" t="s">
        <v>371</v>
      </c>
      <c r="D44" s="1109"/>
      <c r="E44" s="919"/>
      <c r="F44" s="1596">
        <f>+'RS 00XX &amp; 1400'!D147+'RS 0653'!D87+'RS 0654'!D87+'RS 0655'!D89+'RS 1100'!D75+'RS 0617'!D82-F45</f>
        <v>3276562.45</v>
      </c>
      <c r="G44" s="1670">
        <f>+'RS 00XX &amp; 1400'!H147+'RS 0653'!H87+'RS 0654'!H87+'RS 0655'!H89+'RS 1100'!H75+'RS 0617'!H82-G45</f>
        <v>3296158</v>
      </c>
      <c r="H44" s="1633">
        <f>+'RS 00XX &amp; 1400'!L147+'RS 0653'!L87+'RS 0654'!L87+'RS 0655'!L89+'RS 1100'!L75+'RS 0617'!L82-H45</f>
        <v>3108405</v>
      </c>
      <c r="I44" s="1000">
        <f>+'RS 00XX &amp; 1400'!P147+'RS 0653'!P87+'RS 0654'!P87+'RS 0655'!P89+'RS 1100'!P75+'RS 0617'!P82-I45</f>
        <v>3160620</v>
      </c>
      <c r="J44" s="921" t="e">
        <f>(+I44)*(1+#REF!)</f>
        <v>#REF!</v>
      </c>
      <c r="K44" s="919" t="e">
        <f>(+J44)*(1+#REF!)</f>
        <v>#REF!</v>
      </c>
      <c r="L44" s="921" t="e">
        <f>(+K44)*(1+#REF!)</f>
        <v>#REF!</v>
      </c>
      <c r="M44" s="233"/>
      <c r="O44" s="949"/>
      <c r="P44" s="949"/>
      <c r="Q44" s="949"/>
      <c r="R44" s="1528"/>
      <c r="S44" s="1528"/>
      <c r="T44" s="1528"/>
      <c r="U44" s="644"/>
      <c r="V44" s="643"/>
      <c r="W44" s="643"/>
      <c r="X44" s="643"/>
      <c r="Y44" s="643"/>
      <c r="Z44" s="643"/>
      <c r="AA44" s="644"/>
      <c r="AB44" s="644"/>
      <c r="AC44" s="637"/>
      <c r="AD44" s="626"/>
      <c r="AE44" s="626"/>
      <c r="AF44" s="626"/>
      <c r="AG44" s="1896"/>
      <c r="AH44" s="1887"/>
      <c r="AI44" s="1887"/>
      <c r="AJ44" s="1887"/>
      <c r="AK44" s="1887"/>
      <c r="AL44" s="1887"/>
    </row>
    <row r="45" spans="1:38" ht="18" x14ac:dyDescent="0.25">
      <c r="A45" s="1991"/>
      <c r="B45" s="1933"/>
      <c r="C45" s="1109"/>
      <c r="D45" s="1961" t="s">
        <v>693</v>
      </c>
      <c r="E45" s="919"/>
      <c r="F45" s="1610">
        <f>+'RS 0617'!D82</f>
        <v>43200</v>
      </c>
      <c r="G45" s="1685">
        <f>+'RS 0617'!H82</f>
        <v>42500</v>
      </c>
      <c r="H45" s="1648">
        <f>+'RS 0617'!L82</f>
        <v>42500</v>
      </c>
      <c r="I45" s="1010">
        <f>+'RS 0617'!P82</f>
        <v>42500</v>
      </c>
      <c r="J45" s="931"/>
      <c r="K45" s="930"/>
      <c r="L45" s="931"/>
      <c r="M45" s="332"/>
      <c r="O45" s="949"/>
      <c r="P45" s="949"/>
      <c r="Q45" s="949"/>
      <c r="R45" s="1528"/>
      <c r="S45" s="1528"/>
      <c r="T45" s="1528"/>
      <c r="U45" s="644"/>
      <c r="V45" s="643"/>
      <c r="W45" s="647"/>
      <c r="X45" s="647"/>
      <c r="Y45" s="647"/>
      <c r="Z45" s="647"/>
      <c r="AA45" s="644"/>
      <c r="AB45" s="644"/>
      <c r="AC45" s="637"/>
      <c r="AD45" s="626"/>
      <c r="AE45" s="626"/>
      <c r="AF45" s="626"/>
      <c r="AG45" s="1896"/>
      <c r="AH45" s="1887"/>
      <c r="AI45" s="1887"/>
      <c r="AJ45" s="1887"/>
      <c r="AK45" s="1887"/>
      <c r="AL45" s="1887"/>
    </row>
    <row r="46" spans="1:38" s="1893" customFormat="1" ht="25.5" customHeight="1" x14ac:dyDescent="0.25">
      <c r="A46" s="1991"/>
      <c r="B46" s="1933"/>
      <c r="C46" s="1109" t="s">
        <v>342</v>
      </c>
      <c r="D46" s="1109"/>
      <c r="E46" s="919"/>
      <c r="F46" s="1596">
        <f>+'RS 00XX &amp; 1400'!D153+'RS 1100'!D81</f>
        <v>34000</v>
      </c>
      <c r="G46" s="1670">
        <f>+'RS 00XX &amp; 1400'!H153+'RS 1100'!H81</f>
        <v>9000</v>
      </c>
      <c r="H46" s="1633">
        <f>+'RS 00XX &amp; 1400'!L153+'RS 1100'!L81</f>
        <v>0</v>
      </c>
      <c r="I46" s="1000">
        <f>+'RS 00XX &amp; 1400'!P153+'RS 1100'!P81</f>
        <v>0</v>
      </c>
      <c r="J46" s="921" t="e">
        <f>(+I46)*(1+#REF!)</f>
        <v>#REF!</v>
      </c>
      <c r="K46" s="919" t="e">
        <f>(+J46)*(1+#REF!)</f>
        <v>#REF!</v>
      </c>
      <c r="L46" s="921" t="e">
        <f>(+K46)*(1+#REF!)</f>
        <v>#REF!</v>
      </c>
      <c r="M46" s="233"/>
      <c r="N46" s="240"/>
      <c r="O46" s="949"/>
      <c r="P46" s="949"/>
      <c r="Q46" s="949"/>
      <c r="R46" s="1528"/>
      <c r="S46" s="1528"/>
      <c r="T46" s="1528"/>
      <c r="U46" s="649"/>
      <c r="V46" s="642"/>
      <c r="W46" s="641"/>
      <c r="X46" s="641"/>
      <c r="Y46" s="641"/>
      <c r="Z46" s="641"/>
      <c r="AA46" s="649"/>
      <c r="AB46" s="649"/>
      <c r="AC46" s="640"/>
      <c r="AD46" s="626"/>
      <c r="AE46" s="626"/>
      <c r="AF46" s="626"/>
      <c r="AG46" s="1896"/>
      <c r="AH46" s="1892"/>
      <c r="AI46" s="1892"/>
      <c r="AJ46" s="1892"/>
      <c r="AK46" s="1892"/>
      <c r="AL46" s="1892"/>
    </row>
    <row r="47" spans="1:38" ht="18" x14ac:dyDescent="0.25">
      <c r="A47" s="1991"/>
      <c r="B47" s="1933"/>
      <c r="C47" s="1109" t="s">
        <v>372</v>
      </c>
      <c r="D47" s="1109"/>
      <c r="E47" s="919"/>
      <c r="F47" s="1596">
        <f>+'RS 00XX &amp; 1400'!D156+'RS 00XX &amp; 1400'!D157</f>
        <v>135374</v>
      </c>
      <c r="G47" s="1670">
        <f>+'RS 00XX &amp; 1400'!H156+'RS 00XX &amp; 1400'!H157+'RS 00XX &amp; 1400'!H160</f>
        <v>212874</v>
      </c>
      <c r="H47" s="1633">
        <f>+'RS 00XX &amp; 1400'!L156+'RS 00XX &amp; 1400'!L157+'RS 00XX &amp; 1400'!L160</f>
        <v>212874</v>
      </c>
      <c r="I47" s="1000">
        <f>+'RS 00XX &amp; 1400'!P156+'RS 00XX &amp; 1400'!P157+'RS 00XX &amp; 1400'!P160</f>
        <v>212874</v>
      </c>
      <c r="J47" s="921" t="e">
        <f>(+I47)*(1+#REF!)</f>
        <v>#REF!</v>
      </c>
      <c r="K47" s="919" t="e">
        <f>(+J47)*(1+#REF!)</f>
        <v>#REF!</v>
      </c>
      <c r="L47" s="921" t="e">
        <f>(+K47)*(1+#REF!)</f>
        <v>#REF!</v>
      </c>
      <c r="M47" s="233"/>
      <c r="O47" s="949"/>
      <c r="P47" s="949"/>
      <c r="Q47" s="949"/>
      <c r="R47" s="1528"/>
      <c r="S47" s="1528"/>
      <c r="T47" s="1528"/>
      <c r="U47" s="644"/>
      <c r="V47" s="640"/>
      <c r="W47" s="643"/>
      <c r="X47" s="643"/>
      <c r="Y47" s="643"/>
      <c r="Z47" s="643"/>
      <c r="AA47" s="644"/>
      <c r="AB47" s="644"/>
      <c r="AC47" s="642"/>
      <c r="AD47" s="626"/>
      <c r="AE47" s="626"/>
      <c r="AF47" s="626"/>
      <c r="AG47" s="1896"/>
      <c r="AH47" s="1887"/>
      <c r="AI47" s="1887"/>
      <c r="AJ47" s="1887"/>
      <c r="AK47" s="1887"/>
      <c r="AL47" s="1887"/>
    </row>
    <row r="48" spans="1:38" ht="18" x14ac:dyDescent="0.25">
      <c r="A48" s="2002"/>
      <c r="B48" s="1936"/>
      <c r="C48" s="1937" t="s">
        <v>373</v>
      </c>
      <c r="D48" s="1937"/>
      <c r="E48" s="935"/>
      <c r="F48" s="1597">
        <f>+'RS 00XX &amp; 1400'!D158+'RS 00XX &amp; 1400'!D159</f>
        <v>-738316</v>
      </c>
      <c r="G48" s="1675">
        <f>+'RS 00XX &amp; 1400'!H158+'RS 00XX &amp; 1400'!H159</f>
        <v>-913440</v>
      </c>
      <c r="H48" s="1638">
        <f>+'RS 00XX &amp; 1400'!L158+'RS 00XX &amp; 1400'!L159</f>
        <v>-942578</v>
      </c>
      <c r="I48" s="1002">
        <f>+'RS 00XX &amp; 1400'!P158+'RS 00XX &amp; 1400'!P159</f>
        <v>-969535</v>
      </c>
      <c r="J48" s="936" t="e">
        <f>(+I48)*(1+#REF!)</f>
        <v>#REF!</v>
      </c>
      <c r="K48" s="935" t="e">
        <f>(+J48)*(1+#REF!)</f>
        <v>#REF!</v>
      </c>
      <c r="L48" s="936" t="e">
        <f>(+K48)*(1+#REF!)</f>
        <v>#REF!</v>
      </c>
      <c r="M48" s="233"/>
      <c r="O48" s="949"/>
      <c r="P48" s="949"/>
      <c r="Q48" s="949"/>
      <c r="R48" s="1528"/>
      <c r="S48" s="1528"/>
      <c r="T48" s="1528"/>
      <c r="U48" s="644"/>
      <c r="V48" s="643"/>
      <c r="W48" s="641"/>
      <c r="X48" s="641"/>
      <c r="Y48" s="641"/>
      <c r="Z48" s="641"/>
      <c r="AA48" s="644"/>
      <c r="AB48" s="644"/>
      <c r="AC48" s="640"/>
      <c r="AD48" s="626"/>
      <c r="AE48" s="626"/>
      <c r="AF48" s="626"/>
      <c r="AG48" s="1896"/>
      <c r="AH48" s="1887"/>
      <c r="AI48" s="1887"/>
      <c r="AJ48" s="1887"/>
      <c r="AK48" s="1887"/>
      <c r="AL48" s="1887"/>
    </row>
    <row r="49" spans="1:38" ht="18.75" thickBot="1" x14ac:dyDescent="0.3">
      <c r="A49" s="1938"/>
      <c r="B49" s="1939" t="s">
        <v>374</v>
      </c>
      <c r="C49" s="1947"/>
      <c r="D49" s="1947"/>
      <c r="E49" s="933"/>
      <c r="F49" s="1593">
        <f t="shared" ref="F49:L49" si="4">SUM(F26:F48)</f>
        <v>54618378.99000001</v>
      </c>
      <c r="G49" s="1672">
        <f t="shared" si="4"/>
        <v>56323627</v>
      </c>
      <c r="H49" s="1635">
        <f t="shared" si="4"/>
        <v>55123997</v>
      </c>
      <c r="I49" s="1007">
        <f t="shared" si="4"/>
        <v>56968219</v>
      </c>
      <c r="J49" s="934" t="e">
        <f t="shared" si="4"/>
        <v>#REF!</v>
      </c>
      <c r="K49" s="933" t="e">
        <f t="shared" si="4"/>
        <v>#REF!</v>
      </c>
      <c r="L49" s="934" t="e">
        <f t="shared" si="4"/>
        <v>#REF!</v>
      </c>
      <c r="M49" s="315"/>
      <c r="O49" s="644"/>
      <c r="P49" s="644"/>
      <c r="Q49" s="644"/>
      <c r="R49" s="644"/>
      <c r="S49" s="644"/>
      <c r="T49" s="644"/>
      <c r="U49" s="644"/>
      <c r="V49" s="637"/>
      <c r="W49" s="638"/>
      <c r="X49" s="638"/>
      <c r="Y49" s="638"/>
      <c r="Z49" s="638"/>
      <c r="AA49" s="644"/>
      <c r="AB49" s="644"/>
      <c r="AC49" s="643"/>
      <c r="AD49" s="626"/>
      <c r="AE49" s="626"/>
      <c r="AF49" s="626"/>
      <c r="AG49" s="1896"/>
      <c r="AH49" s="1887"/>
      <c r="AI49" s="1887"/>
      <c r="AJ49" s="1887"/>
      <c r="AK49" s="1887"/>
      <c r="AL49" s="1887"/>
    </row>
    <row r="50" spans="1:38" ht="18.75" thickTop="1" x14ac:dyDescent="0.25">
      <c r="A50" s="1999"/>
      <c r="B50" s="2000"/>
      <c r="C50" s="2001"/>
      <c r="D50" s="2001"/>
      <c r="E50" s="1061"/>
      <c r="F50" s="1611"/>
      <c r="G50" s="1686"/>
      <c r="H50" s="1649"/>
      <c r="I50" s="1062"/>
      <c r="J50" s="247"/>
      <c r="K50" s="248"/>
      <c r="L50" s="247"/>
      <c r="M50" s="248"/>
      <c r="O50" s="640"/>
      <c r="P50" s="641"/>
      <c r="Q50" s="641"/>
      <c r="R50" s="641"/>
      <c r="S50" s="641"/>
      <c r="T50" s="641"/>
      <c r="U50" s="641"/>
      <c r="V50" s="644"/>
      <c r="W50" s="644"/>
      <c r="X50" s="643"/>
      <c r="Y50" s="652"/>
      <c r="Z50" s="652"/>
      <c r="AA50" s="652"/>
      <c r="AB50" s="652"/>
      <c r="AC50" s="644"/>
      <c r="AD50" s="644"/>
      <c r="AE50" s="644"/>
      <c r="AF50" s="644"/>
      <c r="AG50" s="1887"/>
      <c r="AH50" s="1887"/>
      <c r="AI50" s="1887"/>
      <c r="AJ50" s="1887"/>
      <c r="AK50" s="1887"/>
      <c r="AL50" s="1887"/>
    </row>
    <row r="51" spans="1:38" ht="18" x14ac:dyDescent="0.25">
      <c r="A51" s="1988"/>
      <c r="B51" s="1928" t="s">
        <v>740</v>
      </c>
      <c r="C51" s="1929"/>
      <c r="D51" s="1929"/>
      <c r="E51" s="1022"/>
      <c r="F51" s="1612"/>
      <c r="G51" s="1674"/>
      <c r="H51" s="1637"/>
      <c r="I51" s="1023"/>
      <c r="J51" s="238"/>
      <c r="K51" s="237"/>
      <c r="L51" s="238"/>
      <c r="M51" s="237"/>
      <c r="O51" s="643"/>
      <c r="P51" s="641"/>
      <c r="Q51" s="641"/>
      <c r="R51" s="641"/>
      <c r="S51" s="641"/>
      <c r="T51" s="641"/>
      <c r="U51" s="641"/>
      <c r="V51" s="644"/>
      <c r="W51" s="644"/>
      <c r="X51" s="644"/>
      <c r="Y51" s="644"/>
      <c r="Z51" s="644"/>
      <c r="AA51" s="644"/>
      <c r="AB51" s="644"/>
      <c r="AC51" s="644"/>
      <c r="AD51" s="644"/>
      <c r="AE51" s="644"/>
      <c r="AF51" s="644"/>
      <c r="AG51" s="1887"/>
      <c r="AH51" s="1887"/>
      <c r="AI51" s="1887"/>
      <c r="AJ51" s="1887"/>
      <c r="AK51" s="1887"/>
      <c r="AL51" s="1887"/>
    </row>
    <row r="52" spans="1:38" ht="19.5" x14ac:dyDescent="0.35">
      <c r="A52" s="1989"/>
      <c r="B52" s="1931"/>
      <c r="C52" s="1120" t="s">
        <v>375</v>
      </c>
      <c r="D52" s="1120"/>
      <c r="E52" s="1059"/>
      <c r="F52" s="1613">
        <f>+'RS 00XX &amp; 1400'!D161+'RS 00XX &amp; 1400'!D162+'RS 00XX &amp; 1400'!D163</f>
        <v>562000</v>
      </c>
      <c r="G52" s="1687">
        <f>+'RS 00XX &amp; 1400'!H161+'RS 00XX &amp; 1400'!H162+'RS 00XX &amp; 1400'!H163</f>
        <v>562000</v>
      </c>
      <c r="H52" s="1650">
        <f>+'RS 00XX &amp; 1400'!L161+'RS 00XX &amp; 1400'!L162+'RS 00XX &amp; 1400'!L163</f>
        <v>462000</v>
      </c>
      <c r="I52" s="1060">
        <f>+'RS 00XX &amp; 1400'!P161+'RS 00XX &amp; 1400'!P162+'RS 00XX &amp; 1400'!P163</f>
        <v>462000</v>
      </c>
      <c r="J52" s="921">
        <f t="shared" ref="J52:L52" si="5">+I52</f>
        <v>462000</v>
      </c>
      <c r="K52" s="937">
        <f t="shared" si="5"/>
        <v>462000</v>
      </c>
      <c r="L52" s="921">
        <f t="shared" si="5"/>
        <v>462000</v>
      </c>
      <c r="M52" s="233"/>
      <c r="O52" s="637"/>
      <c r="P52" s="639"/>
      <c r="Q52" s="639"/>
      <c r="R52" s="639"/>
      <c r="S52" s="639"/>
      <c r="T52" s="639"/>
      <c r="U52" s="639"/>
      <c r="V52" s="644"/>
      <c r="W52" s="644"/>
      <c r="X52" s="644"/>
      <c r="Y52" s="644"/>
      <c r="Z52" s="644"/>
      <c r="AA52" s="644"/>
      <c r="AB52" s="644"/>
      <c r="AC52" s="644"/>
      <c r="AD52" s="644"/>
      <c r="AE52" s="644"/>
      <c r="AF52" s="644"/>
      <c r="AG52" s="1887"/>
      <c r="AH52" s="1887"/>
      <c r="AI52" s="1887"/>
      <c r="AJ52" s="1887"/>
      <c r="AK52" s="1887"/>
      <c r="AL52" s="1887"/>
    </row>
    <row r="53" spans="1:38" ht="18" x14ac:dyDescent="0.25">
      <c r="A53" s="1991"/>
      <c r="B53" s="1933"/>
      <c r="C53" s="1109" t="s">
        <v>377</v>
      </c>
      <c r="D53" s="1109"/>
      <c r="E53" s="919"/>
      <c r="F53" s="1596">
        <v>0</v>
      </c>
      <c r="G53" s="1670">
        <v>0</v>
      </c>
      <c r="H53" s="1633">
        <v>0</v>
      </c>
      <c r="I53" s="1000">
        <v>0</v>
      </c>
      <c r="J53" s="921">
        <v>0</v>
      </c>
      <c r="K53" s="919">
        <v>0</v>
      </c>
      <c r="L53" s="921">
        <v>0</v>
      </c>
      <c r="M53" s="233"/>
      <c r="O53" s="640"/>
      <c r="P53" s="641"/>
      <c r="Q53" s="641"/>
      <c r="R53" s="641"/>
      <c r="S53" s="641"/>
      <c r="T53" s="641"/>
      <c r="U53" s="641"/>
      <c r="V53" s="644"/>
      <c r="W53" s="644"/>
      <c r="X53" s="644"/>
      <c r="Y53" s="644"/>
      <c r="Z53" s="644"/>
      <c r="AA53" s="644"/>
      <c r="AB53" s="644"/>
      <c r="AC53" s="644"/>
      <c r="AD53" s="644"/>
      <c r="AE53" s="644"/>
      <c r="AF53" s="644"/>
      <c r="AG53" s="1887"/>
      <c r="AH53" s="1887"/>
      <c r="AI53" s="1887"/>
      <c r="AJ53" s="1887"/>
      <c r="AK53" s="1887"/>
      <c r="AL53" s="1887"/>
    </row>
    <row r="54" spans="1:38" s="1898" customFormat="1" ht="20.25" thickBot="1" x14ac:dyDescent="0.4">
      <c r="A54" s="1938"/>
      <c r="B54" s="1939" t="s">
        <v>379</v>
      </c>
      <c r="C54" s="1947"/>
      <c r="D54" s="1947"/>
      <c r="E54" s="933">
        <f>+E15-E52+E16+E53+SUM(E18:E20)</f>
        <v>0</v>
      </c>
      <c r="F54" s="1593">
        <f>SUM(F52:F53)</f>
        <v>562000</v>
      </c>
      <c r="G54" s="1672">
        <f t="shared" ref="G54:I54" si="6">SUM(G52:G53)</f>
        <v>562000</v>
      </c>
      <c r="H54" s="1635">
        <f t="shared" si="6"/>
        <v>462000</v>
      </c>
      <c r="I54" s="1007">
        <f t="shared" si="6"/>
        <v>462000</v>
      </c>
      <c r="J54" s="934" t="e">
        <f>+J15-J52+J16+J53+J17</f>
        <v>#REF!</v>
      </c>
      <c r="K54" s="933" t="e">
        <f>+K15-K52+K16+K53+K17</f>
        <v>#REF!</v>
      </c>
      <c r="L54" s="934" t="e">
        <f>+L15-L52+L16+L53+L17</f>
        <v>#REF!</v>
      </c>
      <c r="M54" s="315"/>
      <c r="N54" s="250"/>
      <c r="O54" s="637"/>
      <c r="P54" s="639"/>
      <c r="Q54" s="639"/>
      <c r="R54" s="639"/>
      <c r="S54" s="639"/>
      <c r="T54" s="654"/>
      <c r="U54" s="654"/>
      <c r="V54" s="654"/>
      <c r="W54" s="654"/>
      <c r="X54" s="654"/>
      <c r="Y54" s="654"/>
      <c r="Z54" s="654"/>
      <c r="AA54" s="654"/>
      <c r="AB54" s="654"/>
      <c r="AC54" s="654"/>
      <c r="AD54" s="654"/>
      <c r="AE54" s="654"/>
      <c r="AF54" s="654"/>
      <c r="AG54" s="1897"/>
      <c r="AH54" s="1897"/>
      <c r="AI54" s="1897"/>
      <c r="AJ54" s="1897"/>
      <c r="AK54" s="1897"/>
      <c r="AL54" s="1897"/>
    </row>
    <row r="55" spans="1:38" s="1898" customFormat="1" ht="18.75" thickTop="1" x14ac:dyDescent="0.25">
      <c r="A55" s="2003"/>
      <c r="B55" s="1948"/>
      <c r="C55" s="1942"/>
      <c r="D55" s="1942"/>
      <c r="E55" s="237"/>
      <c r="F55" s="1614"/>
      <c r="G55" s="1677"/>
      <c r="H55" s="1651"/>
      <c r="I55" s="1005"/>
      <c r="J55" s="251"/>
      <c r="K55" s="237"/>
      <c r="L55" s="251"/>
      <c r="M55" s="237"/>
      <c r="N55" s="250"/>
      <c r="O55" s="637"/>
      <c r="P55" s="638"/>
      <c r="Q55" s="638"/>
      <c r="R55" s="638"/>
      <c r="S55" s="638"/>
      <c r="T55" s="654"/>
      <c r="U55" s="654"/>
      <c r="V55" s="654"/>
      <c r="W55" s="654"/>
      <c r="X55" s="654"/>
      <c r="Y55" s="654"/>
      <c r="Z55" s="654"/>
      <c r="AA55" s="654"/>
      <c r="AB55" s="654"/>
      <c r="AC55" s="654"/>
      <c r="AD55" s="654"/>
      <c r="AE55" s="654"/>
      <c r="AF55" s="654"/>
      <c r="AG55" s="1897"/>
      <c r="AH55" s="1897"/>
      <c r="AI55" s="1897"/>
      <c r="AJ55" s="1897"/>
      <c r="AK55" s="1897"/>
      <c r="AL55" s="1897"/>
    </row>
    <row r="56" spans="1:38" s="1900" customFormat="1" ht="25.5" customHeight="1" x14ac:dyDescent="0.25">
      <c r="A56" s="2004"/>
      <c r="B56" s="2005" t="s">
        <v>741</v>
      </c>
      <c r="C56" s="2012"/>
      <c r="D56" s="2012"/>
      <c r="E56" s="1063"/>
      <c r="F56" s="1615">
        <f>SUM(F49,F54)</f>
        <v>55180378.99000001</v>
      </c>
      <c r="G56" s="1688">
        <f t="shared" ref="G56:I56" si="7">SUM(G49,G54)</f>
        <v>56885627</v>
      </c>
      <c r="H56" s="1652">
        <f t="shared" si="7"/>
        <v>55585997</v>
      </c>
      <c r="I56" s="1064">
        <f t="shared" si="7"/>
        <v>57430219</v>
      </c>
      <c r="J56" s="968"/>
      <c r="K56" s="967"/>
      <c r="L56" s="968"/>
      <c r="M56" s="967"/>
      <c r="N56" s="963"/>
      <c r="O56" s="969"/>
      <c r="P56" s="970"/>
      <c r="Q56" s="970"/>
      <c r="R56" s="970"/>
      <c r="S56" s="970"/>
      <c r="T56" s="966"/>
      <c r="U56" s="966"/>
      <c r="V56" s="966"/>
      <c r="W56" s="966"/>
      <c r="X56" s="966"/>
      <c r="Y56" s="966"/>
      <c r="Z56" s="966"/>
      <c r="AA56" s="966"/>
      <c r="AB56" s="966"/>
      <c r="AC56" s="966"/>
      <c r="AD56" s="966"/>
      <c r="AE56" s="966"/>
      <c r="AF56" s="966"/>
      <c r="AG56" s="1899"/>
      <c r="AH56" s="1899"/>
      <c r="AI56" s="1899"/>
      <c r="AJ56" s="1899"/>
      <c r="AK56" s="1899"/>
      <c r="AL56" s="1899"/>
    </row>
    <row r="57" spans="1:38" s="1900" customFormat="1" ht="14.25" customHeight="1" x14ac:dyDescent="0.25">
      <c r="A57" s="2013"/>
      <c r="B57" s="2014"/>
      <c r="C57" s="2015"/>
      <c r="D57" s="2016"/>
      <c r="E57" s="1133"/>
      <c r="F57" s="1134"/>
      <c r="G57" s="1689"/>
      <c r="H57" s="1134"/>
      <c r="I57" s="1135"/>
      <c r="J57" s="968"/>
      <c r="K57" s="967"/>
      <c r="L57" s="968"/>
      <c r="M57" s="967"/>
      <c r="N57" s="963"/>
      <c r="O57" s="969"/>
      <c r="P57" s="970"/>
      <c r="Q57" s="970"/>
      <c r="R57" s="970"/>
      <c r="S57" s="970"/>
      <c r="T57" s="966"/>
      <c r="U57" s="966"/>
      <c r="V57" s="966"/>
      <c r="W57" s="966"/>
      <c r="X57" s="966"/>
      <c r="Y57" s="966"/>
      <c r="Z57" s="966"/>
      <c r="AA57" s="966"/>
      <c r="AB57" s="966"/>
      <c r="AC57" s="966"/>
      <c r="AD57" s="966"/>
      <c r="AE57" s="966"/>
      <c r="AF57" s="966"/>
      <c r="AG57" s="1899"/>
      <c r="AH57" s="1899"/>
      <c r="AI57" s="1899"/>
      <c r="AJ57" s="1899"/>
      <c r="AK57" s="1899"/>
      <c r="AL57" s="1899"/>
    </row>
    <row r="58" spans="1:38" s="1900" customFormat="1" ht="33" customHeight="1" x14ac:dyDescent="0.25">
      <c r="A58" s="2004"/>
      <c r="B58" s="2005" t="s">
        <v>398</v>
      </c>
      <c r="C58" s="2005"/>
      <c r="D58" s="2005"/>
      <c r="E58" s="1065"/>
      <c r="F58" s="1616">
        <v>15516669.960000001</v>
      </c>
      <c r="G58" s="1690">
        <f>+F60</f>
        <v>13075711.499999993</v>
      </c>
      <c r="H58" s="1653">
        <f>+G60</f>
        <v>7754172.5099999923</v>
      </c>
      <c r="I58" s="1066">
        <f>+H60</f>
        <v>5898254.3064999897</v>
      </c>
      <c r="J58" s="976">
        <f t="shared" ref="J58:L58" si="8">+I60</f>
        <v>4335942.048717754</v>
      </c>
      <c r="K58" s="977" t="e">
        <f t="shared" si="8"/>
        <v>#REF!</v>
      </c>
      <c r="L58" s="976" t="e">
        <f t="shared" si="8"/>
        <v>#REF!</v>
      </c>
      <c r="M58" s="977"/>
      <c r="N58" s="963"/>
      <c r="O58" s="964"/>
      <c r="P58" s="978"/>
      <c r="Q58" s="978"/>
      <c r="R58" s="978"/>
      <c r="S58" s="978"/>
      <c r="T58" s="966"/>
      <c r="U58" s="966"/>
      <c r="V58" s="966"/>
      <c r="W58" s="966"/>
      <c r="X58" s="966"/>
      <c r="Y58" s="966"/>
      <c r="Z58" s="966"/>
      <c r="AA58" s="966"/>
      <c r="AB58" s="966"/>
      <c r="AC58" s="966"/>
      <c r="AD58" s="966"/>
      <c r="AE58" s="966"/>
      <c r="AF58" s="966"/>
      <c r="AG58" s="1899"/>
      <c r="AH58" s="1899"/>
      <c r="AI58" s="1899"/>
      <c r="AJ58" s="1899"/>
      <c r="AK58" s="1899"/>
      <c r="AL58" s="1899"/>
    </row>
    <row r="59" spans="1:38" s="1900" customFormat="1" ht="33" customHeight="1" x14ac:dyDescent="0.25">
      <c r="A59" s="2004"/>
      <c r="B59" s="2005" t="s">
        <v>380</v>
      </c>
      <c r="C59" s="2012"/>
      <c r="D59" s="2012"/>
      <c r="E59" s="1065"/>
      <c r="F59" s="1616">
        <f>F23-F56</f>
        <v>-2440958.4600000083</v>
      </c>
      <c r="G59" s="1690">
        <f>G23-G56</f>
        <v>-5321539</v>
      </c>
      <c r="H59" s="1653">
        <f>H23-H56</f>
        <v>-1855918.2035000026</v>
      </c>
      <c r="I59" s="1066">
        <f>I23-I56</f>
        <v>-1562312.2577822357</v>
      </c>
      <c r="J59" s="961" t="e">
        <f>+#REF!+J54</f>
        <v>#REF!</v>
      </c>
      <c r="K59" s="962" t="e">
        <f>+#REF!+K54</f>
        <v>#REF!</v>
      </c>
      <c r="L59" s="961" t="e">
        <f>+#REF!+L54</f>
        <v>#REF!</v>
      </c>
      <c r="M59" s="962"/>
      <c r="N59" s="963"/>
      <c r="O59" s="964"/>
      <c r="P59" s="965"/>
      <c r="Q59" s="965"/>
      <c r="R59" s="965"/>
      <c r="S59" s="965"/>
      <c r="T59" s="966"/>
      <c r="U59" s="966"/>
      <c r="V59" s="966"/>
      <c r="W59" s="966"/>
      <c r="X59" s="966"/>
      <c r="Y59" s="966"/>
      <c r="Z59" s="966"/>
      <c r="AA59" s="966"/>
      <c r="AB59" s="966"/>
      <c r="AC59" s="966"/>
      <c r="AD59" s="966"/>
      <c r="AE59" s="966"/>
      <c r="AF59" s="966"/>
      <c r="AG59" s="1899"/>
      <c r="AH59" s="1899"/>
      <c r="AI59" s="1899"/>
      <c r="AJ59" s="1899"/>
      <c r="AK59" s="1899"/>
      <c r="AL59" s="1899"/>
    </row>
    <row r="60" spans="1:38" s="1902" customFormat="1" ht="26.25" customHeight="1" thickBot="1" x14ac:dyDescent="0.3">
      <c r="A60" s="2017"/>
      <c r="B60" s="2018" t="s">
        <v>136</v>
      </c>
      <c r="C60" s="2019"/>
      <c r="D60" s="2019"/>
      <c r="E60" s="986"/>
      <c r="F60" s="1617">
        <f>F58+F59</f>
        <v>13075711.499999993</v>
      </c>
      <c r="G60" s="1691">
        <f>G58+G59+0.01</f>
        <v>7754172.5099999923</v>
      </c>
      <c r="H60" s="1654">
        <f>H58+H59</f>
        <v>5898254.3064999897</v>
      </c>
      <c r="I60" s="1043">
        <f>I58+I59</f>
        <v>4335942.048717754</v>
      </c>
      <c r="J60" s="990" t="e">
        <f>+#REF!+J59</f>
        <v>#REF!</v>
      </c>
      <c r="K60" s="991" t="e">
        <f>+#REF!+K59</f>
        <v>#REF!</v>
      </c>
      <c r="L60" s="990" t="e">
        <f>+#REF!+L59</f>
        <v>#REF!</v>
      </c>
      <c r="M60" s="1188"/>
      <c r="N60" s="992"/>
      <c r="O60" s="993"/>
      <c r="P60" s="994"/>
      <c r="Q60" s="994"/>
      <c r="R60" s="994"/>
      <c r="S60" s="994"/>
      <c r="T60" s="993"/>
      <c r="U60" s="993"/>
      <c r="V60" s="995"/>
      <c r="W60" s="993"/>
      <c r="X60" s="993"/>
      <c r="Y60" s="993"/>
      <c r="Z60" s="993"/>
      <c r="AA60" s="993"/>
      <c r="AB60" s="993"/>
      <c r="AC60" s="993"/>
      <c r="AD60" s="993"/>
      <c r="AE60" s="993"/>
      <c r="AF60" s="993"/>
      <c r="AG60" s="1901"/>
      <c r="AH60" s="1901"/>
      <c r="AI60" s="1901"/>
      <c r="AJ60" s="1901"/>
      <c r="AK60" s="1901"/>
      <c r="AL60" s="1901"/>
    </row>
    <row r="61" spans="1:38" s="1898" customFormat="1" ht="19.5" thickTop="1" thickBot="1" x14ac:dyDescent="0.3">
      <c r="A61" s="2020"/>
      <c r="B61" s="2021"/>
      <c r="C61" s="2022"/>
      <c r="D61" s="2022"/>
      <c r="E61" s="984"/>
      <c r="F61" s="1618">
        <f>F60/COMBINED!F56</f>
        <v>0.15834522463060594</v>
      </c>
      <c r="G61" s="1692">
        <f>G60/COMBINED!G56</f>
        <v>8.9258924410377485E-2</v>
      </c>
      <c r="H61" s="1655">
        <f>H60/COMBINED!H56</f>
        <v>7.3397750498325809E-2</v>
      </c>
      <c r="I61" s="1044">
        <f>I60/COMBINED!I56</f>
        <v>5.2449745507285442E-2</v>
      </c>
      <c r="J61" s="253" t="e">
        <f>+J60/(COMBINED!J49+COMBINED!J52+COMBINED!J53)</f>
        <v>#REF!</v>
      </c>
      <c r="K61" s="254" t="e">
        <f>+K60/(COMBINED!K49+COMBINED!K52+COMBINED!K53)</f>
        <v>#REF!</v>
      </c>
      <c r="L61" s="253" t="e">
        <f>+L60/(COMBINED!L49+COMBINED!L52+COMBINED!L53)</f>
        <v>#REF!</v>
      </c>
      <c r="M61" s="254"/>
      <c r="N61" s="250"/>
      <c r="O61" s="654"/>
      <c r="P61" s="941"/>
      <c r="Q61" s="941"/>
      <c r="R61" s="941"/>
      <c r="S61" s="941"/>
      <c r="T61" s="654"/>
      <c r="U61" s="654"/>
      <c r="V61" s="953"/>
      <c r="W61" s="654"/>
      <c r="X61" s="654"/>
      <c r="Y61" s="654"/>
      <c r="Z61" s="654"/>
      <c r="AA61" s="654"/>
      <c r="AB61" s="654"/>
      <c r="AC61" s="654"/>
      <c r="AD61" s="654"/>
      <c r="AE61" s="654"/>
      <c r="AF61" s="654"/>
      <c r="AG61" s="1897"/>
      <c r="AH61" s="1897"/>
      <c r="AI61" s="1897"/>
      <c r="AJ61" s="1897"/>
      <c r="AK61" s="1897"/>
      <c r="AL61" s="1897"/>
    </row>
    <row r="62" spans="1:38" s="1898" customFormat="1" ht="18.75" thickTop="1" x14ac:dyDescent="0.25">
      <c r="A62" s="2003"/>
      <c r="B62" s="1948"/>
      <c r="C62" s="1949"/>
      <c r="D62" s="1929"/>
      <c r="E62" s="1136"/>
      <c r="F62" s="1136"/>
      <c r="G62" s="1693"/>
      <c r="H62" s="1136"/>
      <c r="I62" s="1137"/>
      <c r="J62" s="254"/>
      <c r="K62" s="254"/>
      <c r="L62" s="254"/>
      <c r="M62" s="254"/>
      <c r="N62" s="250"/>
      <c r="O62" s="654"/>
      <c r="P62" s="941"/>
      <c r="Q62" s="941"/>
      <c r="R62" s="941"/>
      <c r="S62" s="941"/>
      <c r="T62" s="654"/>
      <c r="U62" s="654"/>
      <c r="V62" s="953"/>
      <c r="W62" s="654"/>
      <c r="X62" s="654"/>
      <c r="Y62" s="654"/>
      <c r="Z62" s="654"/>
      <c r="AA62" s="654"/>
      <c r="AB62" s="654"/>
      <c r="AC62" s="654"/>
      <c r="AD62" s="654"/>
      <c r="AE62" s="654"/>
      <c r="AF62" s="654"/>
      <c r="AG62" s="1897"/>
      <c r="AH62" s="1897"/>
      <c r="AI62" s="1897"/>
      <c r="AJ62" s="1897"/>
      <c r="AK62" s="1897"/>
      <c r="AL62" s="1897"/>
    </row>
    <row r="63" spans="1:38" s="1898" customFormat="1" ht="40.5" customHeight="1" x14ac:dyDescent="0.25">
      <c r="A63" s="2023" t="s">
        <v>381</v>
      </c>
      <c r="B63" s="2024"/>
      <c r="C63" s="2025"/>
      <c r="D63" s="2025"/>
      <c r="E63" s="1053"/>
      <c r="F63" s="1053"/>
      <c r="G63" s="1694"/>
      <c r="H63" s="1053"/>
      <c r="I63" s="1138"/>
      <c r="J63" s="255"/>
      <c r="K63" s="256"/>
      <c r="L63" s="255"/>
      <c r="M63" s="256"/>
      <c r="N63" s="250"/>
      <c r="O63" s="654"/>
      <c r="P63" s="952"/>
      <c r="Q63" s="942"/>
      <c r="R63" s="942"/>
      <c r="S63" s="942"/>
      <c r="T63" s="943"/>
      <c r="U63" s="943"/>
      <c r="V63" s="953"/>
      <c r="W63" s="654"/>
      <c r="X63" s="654"/>
      <c r="Y63" s="654"/>
      <c r="Z63" s="654"/>
      <c r="AA63" s="654"/>
      <c r="AB63" s="654"/>
      <c r="AC63" s="654"/>
      <c r="AD63" s="654"/>
      <c r="AE63" s="654"/>
      <c r="AF63" s="654"/>
      <c r="AG63" s="1897"/>
      <c r="AH63" s="1897"/>
      <c r="AI63" s="1897"/>
      <c r="AJ63" s="1897"/>
      <c r="AK63" s="1897"/>
      <c r="AL63" s="1897"/>
    </row>
    <row r="64" spans="1:38" s="1898" customFormat="1" ht="21" customHeight="1" x14ac:dyDescent="0.25">
      <c r="A64" s="2026"/>
      <c r="B64" s="2027" t="s">
        <v>382</v>
      </c>
      <c r="C64" s="2028"/>
      <c r="D64" s="2029"/>
      <c r="E64" s="1051"/>
      <c r="F64" s="1619">
        <v>10000</v>
      </c>
      <c r="G64" s="1695">
        <f>+F64</f>
        <v>10000</v>
      </c>
      <c r="H64" s="1656">
        <f>+G64</f>
        <v>10000</v>
      </c>
      <c r="I64" s="1052">
        <f t="shared" ref="I64:L64" si="9">+H64</f>
        <v>10000</v>
      </c>
      <c r="J64" s="257">
        <f t="shared" si="9"/>
        <v>10000</v>
      </c>
      <c r="K64" s="258">
        <f t="shared" si="9"/>
        <v>10000</v>
      </c>
      <c r="L64" s="257">
        <f t="shared" si="9"/>
        <v>10000</v>
      </c>
      <c r="M64" s="1189"/>
      <c r="N64" s="250"/>
      <c r="O64" s="654"/>
      <c r="P64" s="952"/>
      <c r="Q64" s="952"/>
      <c r="R64" s="952"/>
      <c r="S64" s="952"/>
      <c r="T64" s="953"/>
      <c r="U64" s="953"/>
      <c r="V64" s="953"/>
      <c r="W64" s="654"/>
      <c r="X64" s="654"/>
      <c r="Y64" s="654"/>
      <c r="Z64" s="654"/>
      <c r="AA64" s="654"/>
      <c r="AB64" s="654"/>
      <c r="AC64" s="654"/>
      <c r="AD64" s="654"/>
      <c r="AE64" s="654"/>
      <c r="AF64" s="654"/>
      <c r="AG64" s="1897"/>
      <c r="AH64" s="1897"/>
      <c r="AI64" s="1897"/>
      <c r="AJ64" s="1897"/>
      <c r="AK64" s="1897"/>
      <c r="AL64" s="1897"/>
    </row>
    <row r="65" spans="1:38" s="1898" customFormat="1" ht="21" customHeight="1" x14ac:dyDescent="0.25">
      <c r="A65" s="1123"/>
      <c r="B65" s="1081" t="s">
        <v>383</v>
      </c>
      <c r="C65" s="1082"/>
      <c r="D65" s="2030"/>
      <c r="E65" s="979"/>
      <c r="F65" s="1620">
        <v>0</v>
      </c>
      <c r="G65" s="1696">
        <v>0</v>
      </c>
      <c r="H65" s="1657">
        <v>0</v>
      </c>
      <c r="I65" s="1045">
        <v>0</v>
      </c>
      <c r="J65" s="259">
        <v>0</v>
      </c>
      <c r="K65" s="260">
        <v>0</v>
      </c>
      <c r="L65" s="259">
        <v>0</v>
      </c>
      <c r="M65" s="261"/>
      <c r="N65" s="250"/>
      <c r="O65" s="654"/>
      <c r="P65" s="952"/>
      <c r="Q65" s="952"/>
      <c r="R65" s="952"/>
      <c r="S65" s="952"/>
      <c r="T65" s="953"/>
      <c r="U65" s="953"/>
      <c r="V65" s="953"/>
      <c r="W65" s="654"/>
      <c r="X65" s="654"/>
      <c r="Y65" s="654"/>
      <c r="Z65" s="654"/>
      <c r="AA65" s="654"/>
      <c r="AB65" s="654"/>
      <c r="AC65" s="654"/>
      <c r="AD65" s="654"/>
      <c r="AE65" s="654"/>
      <c r="AF65" s="654"/>
      <c r="AG65" s="1897"/>
      <c r="AH65" s="1897"/>
      <c r="AI65" s="1897"/>
      <c r="AJ65" s="1897"/>
      <c r="AK65" s="1897"/>
      <c r="AL65" s="1897"/>
    </row>
    <row r="66" spans="1:38" s="1898" customFormat="1" ht="21" customHeight="1" x14ac:dyDescent="0.25">
      <c r="A66" s="1123"/>
      <c r="B66" s="1081" t="s">
        <v>384</v>
      </c>
      <c r="C66" s="1082"/>
      <c r="D66" s="2030"/>
      <c r="E66" s="979"/>
      <c r="F66" s="1620">
        <v>0</v>
      </c>
      <c r="G66" s="1696">
        <v>0</v>
      </c>
      <c r="H66" s="1657">
        <v>0</v>
      </c>
      <c r="I66" s="1045">
        <v>0</v>
      </c>
      <c r="J66" s="259">
        <v>0</v>
      </c>
      <c r="K66" s="260">
        <v>0</v>
      </c>
      <c r="L66" s="259">
        <v>0</v>
      </c>
      <c r="M66" s="261"/>
      <c r="N66" s="250"/>
      <c r="O66" s="654"/>
      <c r="P66" s="952"/>
      <c r="Q66" s="952"/>
      <c r="R66" s="952"/>
      <c r="S66" s="952"/>
      <c r="T66" s="953"/>
      <c r="U66" s="953"/>
      <c r="V66" s="953"/>
      <c r="W66" s="654"/>
      <c r="X66" s="654"/>
      <c r="Y66" s="654"/>
      <c r="Z66" s="654"/>
      <c r="AA66" s="654"/>
      <c r="AB66" s="654"/>
      <c r="AC66" s="654"/>
      <c r="AD66" s="654"/>
      <c r="AE66" s="654"/>
      <c r="AF66" s="654"/>
      <c r="AG66" s="1897"/>
      <c r="AH66" s="1897"/>
      <c r="AI66" s="1897"/>
      <c r="AJ66" s="1897"/>
      <c r="AK66" s="1897"/>
      <c r="AL66" s="1897"/>
    </row>
    <row r="67" spans="1:38" s="1898" customFormat="1" ht="21" customHeight="1" x14ac:dyDescent="0.25">
      <c r="A67" s="1123"/>
      <c r="B67" s="1081" t="s">
        <v>385</v>
      </c>
      <c r="C67" s="1082"/>
      <c r="D67" s="2030"/>
      <c r="E67" s="979">
        <f>+SUM(E68:E73)</f>
        <v>1427000</v>
      </c>
      <c r="F67" s="1620">
        <f>+SUM(F68:F73)</f>
        <v>625000</v>
      </c>
      <c r="G67" s="1696">
        <f>+SUM(G68:G73)</f>
        <v>625000</v>
      </c>
      <c r="H67" s="1657">
        <f>+SUM(H68:H73)</f>
        <v>625000</v>
      </c>
      <c r="I67" s="1045">
        <f>+SUM(I68:I73)</f>
        <v>625000</v>
      </c>
      <c r="J67" s="259">
        <f t="shared" ref="J67:L67" si="10">+SUM(J68:J73)</f>
        <v>625000</v>
      </c>
      <c r="K67" s="261">
        <f t="shared" si="10"/>
        <v>625000</v>
      </c>
      <c r="L67" s="259">
        <f t="shared" si="10"/>
        <v>625000</v>
      </c>
      <c r="M67" s="261"/>
      <c r="N67" s="250"/>
      <c r="O67" s="654"/>
      <c r="P67" s="952"/>
      <c r="Q67" s="952"/>
      <c r="R67" s="952"/>
      <c r="S67" s="952"/>
      <c r="T67" s="953"/>
      <c r="U67" s="953"/>
      <c r="V67" s="953"/>
      <c r="W67" s="654"/>
      <c r="X67" s="654"/>
      <c r="Y67" s="654"/>
      <c r="Z67" s="654"/>
      <c r="AA67" s="654"/>
      <c r="AB67" s="654"/>
      <c r="AC67" s="654"/>
      <c r="AD67" s="654"/>
      <c r="AE67" s="654"/>
      <c r="AF67" s="654"/>
      <c r="AG67" s="1897"/>
      <c r="AH67" s="1897"/>
      <c r="AI67" s="1897"/>
      <c r="AJ67" s="1897"/>
      <c r="AK67" s="1897"/>
      <c r="AL67" s="1897"/>
    </row>
    <row r="68" spans="1:38" ht="18" x14ac:dyDescent="0.25">
      <c r="A68" s="1123"/>
      <c r="B68" s="1081"/>
      <c r="C68" s="1082" t="s">
        <v>386</v>
      </c>
      <c r="D68" s="2030"/>
      <c r="E68" s="980">
        <v>200000</v>
      </c>
      <c r="F68" s="1621">
        <v>200000</v>
      </c>
      <c r="G68" s="1697">
        <f t="shared" ref="G68:I69" si="11">+F68</f>
        <v>200000</v>
      </c>
      <c r="H68" s="1658">
        <f t="shared" si="11"/>
        <v>200000</v>
      </c>
      <c r="I68" s="1529">
        <f t="shared" si="11"/>
        <v>200000</v>
      </c>
      <c r="J68" s="262">
        <f t="shared" ref="J68:L71" si="12">+I68</f>
        <v>200000</v>
      </c>
      <c r="K68" s="263">
        <f t="shared" si="12"/>
        <v>200000</v>
      </c>
      <c r="L68" s="262">
        <f t="shared" si="12"/>
        <v>200000</v>
      </c>
      <c r="M68" s="263"/>
      <c r="O68" s="644"/>
      <c r="P68" s="954"/>
      <c r="Q68" s="954"/>
      <c r="R68" s="954"/>
      <c r="S68" s="954"/>
      <c r="T68" s="955"/>
      <c r="U68" s="955"/>
      <c r="V68" s="955"/>
      <c r="W68" s="644"/>
      <c r="X68" s="644"/>
      <c r="Y68" s="644"/>
      <c r="Z68" s="644"/>
      <c r="AA68" s="644"/>
      <c r="AB68" s="644"/>
      <c r="AC68" s="644"/>
      <c r="AD68" s="644"/>
      <c r="AE68" s="644"/>
      <c r="AF68" s="644"/>
      <c r="AG68" s="1887"/>
      <c r="AH68" s="1887"/>
      <c r="AI68" s="1887"/>
      <c r="AJ68" s="1887"/>
      <c r="AK68" s="1887"/>
      <c r="AL68" s="1887"/>
    </row>
    <row r="69" spans="1:38" s="1904" customFormat="1" ht="18" x14ac:dyDescent="0.25">
      <c r="A69" s="1123"/>
      <c r="B69" s="1081"/>
      <c r="C69" s="1082" t="s">
        <v>387</v>
      </c>
      <c r="D69" s="2030"/>
      <c r="E69" s="980">
        <v>425000</v>
      </c>
      <c r="F69" s="1621">
        <v>425000</v>
      </c>
      <c r="G69" s="1697">
        <f t="shared" si="11"/>
        <v>425000</v>
      </c>
      <c r="H69" s="1658">
        <f t="shared" si="11"/>
        <v>425000</v>
      </c>
      <c r="I69" s="1529">
        <f t="shared" si="11"/>
        <v>425000</v>
      </c>
      <c r="J69" s="262">
        <f t="shared" si="12"/>
        <v>425000</v>
      </c>
      <c r="K69" s="263">
        <f t="shared" si="12"/>
        <v>425000</v>
      </c>
      <c r="L69" s="262">
        <f t="shared" si="12"/>
        <v>425000</v>
      </c>
      <c r="M69" s="264"/>
      <c r="N69" s="1193"/>
      <c r="O69" s="264"/>
      <c r="P69" s="956"/>
      <c r="Q69" s="956"/>
      <c r="R69" s="956"/>
      <c r="S69" s="956"/>
      <c r="T69" s="957"/>
      <c r="U69" s="957"/>
      <c r="V69" s="958"/>
      <c r="W69" s="655"/>
      <c r="X69" s="655"/>
      <c r="Y69" s="655"/>
      <c r="Z69" s="655"/>
      <c r="AA69" s="655"/>
      <c r="AB69" s="655"/>
      <c r="AC69" s="655"/>
      <c r="AD69" s="655"/>
      <c r="AE69" s="655"/>
      <c r="AF69" s="655"/>
      <c r="AG69" s="1903"/>
      <c r="AH69" s="1903"/>
      <c r="AI69" s="1903"/>
      <c r="AJ69" s="1903"/>
      <c r="AK69" s="1903"/>
      <c r="AL69" s="1903"/>
    </row>
    <row r="70" spans="1:38" s="1904" customFormat="1" ht="18" hidden="1" x14ac:dyDescent="0.25">
      <c r="A70" s="1123"/>
      <c r="B70" s="1081"/>
      <c r="C70" s="1082"/>
      <c r="D70" s="2030"/>
      <c r="E70" s="980">
        <v>225000</v>
      </c>
      <c r="F70" s="1621"/>
      <c r="G70" s="1697"/>
      <c r="H70" s="1658"/>
      <c r="I70" s="1046"/>
      <c r="J70" s="262">
        <f t="shared" si="12"/>
        <v>0</v>
      </c>
      <c r="K70" s="263">
        <f t="shared" si="12"/>
        <v>0</v>
      </c>
      <c r="L70" s="262">
        <f t="shared" si="12"/>
        <v>0</v>
      </c>
      <c r="M70" s="263"/>
      <c r="N70" s="264"/>
      <c r="O70" s="265"/>
      <c r="P70" s="956"/>
      <c r="Q70" s="956"/>
      <c r="R70" s="956"/>
      <c r="S70" s="956"/>
      <c r="T70" s="957"/>
      <c r="U70" s="957"/>
      <c r="V70" s="958"/>
      <c r="W70" s="655"/>
      <c r="X70" s="655"/>
      <c r="Y70" s="655"/>
      <c r="Z70" s="655"/>
      <c r="AA70" s="655"/>
      <c r="AB70" s="655"/>
      <c r="AC70" s="655"/>
      <c r="AD70" s="655"/>
      <c r="AE70" s="655"/>
      <c r="AF70" s="655"/>
      <c r="AG70" s="1903"/>
      <c r="AH70" s="1903"/>
      <c r="AI70" s="1903"/>
      <c r="AJ70" s="1903"/>
      <c r="AK70" s="1903"/>
      <c r="AL70" s="1903"/>
    </row>
    <row r="71" spans="1:38" s="1906" customFormat="1" ht="18" hidden="1" x14ac:dyDescent="0.25">
      <c r="A71" s="1123"/>
      <c r="B71" s="1081"/>
      <c r="C71" s="1082"/>
      <c r="D71" s="2030"/>
      <c r="E71" s="980">
        <v>577000</v>
      </c>
      <c r="F71" s="1621"/>
      <c r="G71" s="1697"/>
      <c r="H71" s="1658"/>
      <c r="I71" s="1046"/>
      <c r="J71" s="262">
        <f t="shared" si="12"/>
        <v>0</v>
      </c>
      <c r="K71" s="263">
        <f t="shared" si="12"/>
        <v>0</v>
      </c>
      <c r="L71" s="262">
        <f t="shared" si="12"/>
        <v>0</v>
      </c>
      <c r="M71" s="263"/>
      <c r="N71" s="265"/>
      <c r="O71" s="265"/>
      <c r="P71" s="956"/>
      <c r="Q71" s="956"/>
      <c r="R71" s="956"/>
      <c r="S71" s="956"/>
      <c r="T71" s="957"/>
      <c r="U71" s="957"/>
      <c r="V71" s="955"/>
      <c r="W71" s="374"/>
      <c r="X71" s="374"/>
      <c r="Y71" s="374"/>
      <c r="Z71" s="374"/>
      <c r="AA71" s="374"/>
      <c r="AB71" s="374"/>
      <c r="AC71" s="374"/>
      <c r="AD71" s="374"/>
      <c r="AE71" s="374"/>
      <c r="AF71" s="374"/>
      <c r="AG71" s="1905"/>
      <c r="AH71" s="1905"/>
      <c r="AI71" s="1905"/>
      <c r="AJ71" s="1905"/>
      <c r="AK71" s="1905"/>
      <c r="AL71" s="1905"/>
    </row>
    <row r="72" spans="1:38" s="1906" customFormat="1" ht="18" hidden="1" x14ac:dyDescent="0.25">
      <c r="A72" s="1123"/>
      <c r="B72" s="1081"/>
      <c r="C72" s="1082"/>
      <c r="D72" s="2030"/>
      <c r="E72" s="980"/>
      <c r="F72" s="1621"/>
      <c r="G72" s="1697"/>
      <c r="H72" s="1658"/>
      <c r="I72" s="1046"/>
      <c r="J72" s="262"/>
      <c r="K72" s="263"/>
      <c r="L72" s="262"/>
      <c r="M72" s="263"/>
      <c r="N72" s="265"/>
      <c r="O72" s="221"/>
      <c r="P72" s="956"/>
      <c r="Q72" s="956"/>
      <c r="R72" s="956"/>
      <c r="S72" s="956"/>
      <c r="T72" s="957"/>
      <c r="U72" s="957"/>
      <c r="V72" s="957"/>
      <c r="W72" s="265"/>
      <c r="X72" s="265"/>
      <c r="Y72" s="265"/>
      <c r="Z72" s="265"/>
      <c r="AA72" s="265"/>
      <c r="AB72" s="265"/>
      <c r="AC72" s="265"/>
      <c r="AD72" s="265"/>
      <c r="AE72" s="265"/>
      <c r="AF72" s="265"/>
    </row>
    <row r="73" spans="1:38" s="1906" customFormat="1" ht="18" hidden="1" x14ac:dyDescent="0.25">
      <c r="A73" s="1123"/>
      <c r="B73" s="1081"/>
      <c r="C73" s="1082"/>
      <c r="D73" s="2030"/>
      <c r="E73" s="980"/>
      <c r="F73" s="1621"/>
      <c r="G73" s="1697"/>
      <c r="H73" s="1658"/>
      <c r="I73" s="1046"/>
      <c r="J73" s="262"/>
      <c r="K73" s="263"/>
      <c r="L73" s="262"/>
      <c r="M73" s="263"/>
      <c r="N73" s="265"/>
      <c r="O73" s="221"/>
      <c r="P73" s="956"/>
      <c r="Q73" s="956"/>
      <c r="R73" s="956"/>
      <c r="S73" s="956"/>
      <c r="T73" s="957"/>
      <c r="U73" s="957"/>
      <c r="V73" s="957"/>
      <c r="W73" s="265"/>
      <c r="X73" s="265"/>
      <c r="Y73" s="265"/>
      <c r="Z73" s="265"/>
      <c r="AA73" s="265"/>
      <c r="AB73" s="265"/>
      <c r="AC73" s="265"/>
      <c r="AD73" s="265"/>
      <c r="AE73" s="265"/>
      <c r="AF73" s="265"/>
    </row>
    <row r="74" spans="1:38" s="1906" customFormat="1" ht="33.75" customHeight="1" x14ac:dyDescent="0.25">
      <c r="A74" s="1123"/>
      <c r="B74" s="1081" t="s">
        <v>388</v>
      </c>
      <c r="C74" s="1082"/>
      <c r="D74" s="2030"/>
      <c r="E74" s="981"/>
      <c r="F74" s="1622"/>
      <c r="G74" s="1698"/>
      <c r="H74" s="1659"/>
      <c r="I74" s="1047"/>
      <c r="J74" s="266"/>
      <c r="K74" s="267"/>
      <c r="L74" s="266"/>
      <c r="M74" s="267"/>
      <c r="N74" s="265"/>
      <c r="O74" s="945"/>
      <c r="P74" s="956"/>
      <c r="Q74" s="956"/>
      <c r="R74" s="956"/>
      <c r="S74" s="956"/>
      <c r="T74" s="957"/>
      <c r="U74" s="957"/>
      <c r="V74" s="957"/>
      <c r="W74" s="265"/>
      <c r="X74" s="265"/>
      <c r="Y74" s="265"/>
      <c r="Z74" s="265"/>
      <c r="AA74" s="265"/>
      <c r="AB74" s="265"/>
      <c r="AC74" s="265"/>
      <c r="AD74" s="265"/>
      <c r="AE74" s="265"/>
      <c r="AF74" s="265"/>
    </row>
    <row r="75" spans="1:38" ht="18" x14ac:dyDescent="0.25">
      <c r="A75" s="2031"/>
      <c r="B75" s="2032"/>
      <c r="C75" s="2032" t="s">
        <v>389</v>
      </c>
      <c r="D75" s="2033"/>
      <c r="E75" s="1083">
        <f>ROUND((+COMBINED!E49+COMBINED!E52+COMBINED!E53)*0.03,0)</f>
        <v>0</v>
      </c>
      <c r="F75" s="1623">
        <f>ROUND(COMBINED!F56*0.03,0)</f>
        <v>2477317</v>
      </c>
      <c r="G75" s="1699">
        <f>ROUND(COMBINED!G56*0.03,0)</f>
        <v>2606184</v>
      </c>
      <c r="H75" s="1660">
        <f>ROUND(COMBINED!H56*0.03,0)</f>
        <v>2410805</v>
      </c>
      <c r="I75" s="1084">
        <f>ROUND(COMBINED!I56*0.03,0)</f>
        <v>2480055</v>
      </c>
      <c r="J75" s="268" t="e">
        <f>ROUND((+COMBINED!J49+COMBINED!J52+COMBINED!J53)*0.03,0)</f>
        <v>#REF!</v>
      </c>
      <c r="K75" s="269" t="e">
        <f>ROUND((+COMBINED!K49+COMBINED!K52+COMBINED!K53)*0.03,0)</f>
        <v>#REF!</v>
      </c>
      <c r="L75" s="268" t="e">
        <f>ROUND((+COMBINED!L49+COMBINED!L52+COMBINED!L53)*0.03,0)</f>
        <v>#REF!</v>
      </c>
      <c r="M75" s="261"/>
      <c r="O75" s="221"/>
      <c r="P75" s="952"/>
      <c r="Q75" s="952"/>
      <c r="R75" s="952"/>
      <c r="S75" s="952"/>
      <c r="T75" s="953"/>
      <c r="U75" s="957"/>
      <c r="V75" s="957"/>
    </row>
    <row r="76" spans="1:38" ht="18" x14ac:dyDescent="0.25">
      <c r="A76" s="2034"/>
      <c r="B76" s="2035"/>
      <c r="C76" s="2035"/>
      <c r="D76" s="2036"/>
      <c r="E76" s="1077"/>
      <c r="F76" s="1624">
        <f>F75/COMBINED!F56</f>
        <v>2.9999997846864322E-2</v>
      </c>
      <c r="G76" s="1700">
        <f>G75/COMBINED!G56</f>
        <v>3.0000000690664989E-2</v>
      </c>
      <c r="H76" s="1661">
        <f>H75/COMBINED!H56</f>
        <v>3.0000005882268695E-2</v>
      </c>
      <c r="I76" s="1078">
        <f>I75/COMBINED!I56</f>
        <v>2.9999998185524221E-2</v>
      </c>
      <c r="J76" s="271" t="e">
        <f>+J75/(COMBINED!$J$49+COMBINED!$J$52+COMBINED!$J$53)</f>
        <v>#REF!</v>
      </c>
      <c r="K76" s="272" t="e">
        <f>+K75/(COMBINED!$K$49+COMBINED!$K$52+COMBINED!$K$53)</f>
        <v>#REF!</v>
      </c>
      <c r="L76" s="271" t="e">
        <f>+L75/(COMBINED!$L$49+COMBINED!$L$52+COMBINED!$L$53)</f>
        <v>#REF!</v>
      </c>
      <c r="M76" s="272"/>
      <c r="O76" s="643"/>
      <c r="P76" s="950"/>
      <c r="Q76" s="955"/>
      <c r="R76" s="955"/>
      <c r="S76" s="955"/>
      <c r="T76" s="957"/>
      <c r="U76" s="957"/>
      <c r="V76" s="957"/>
    </row>
    <row r="77" spans="1:38" ht="24.75" customHeight="1" x14ac:dyDescent="0.25">
      <c r="A77" s="2037"/>
      <c r="B77" s="2038"/>
      <c r="C77" s="2038" t="s">
        <v>390</v>
      </c>
      <c r="D77" s="2039"/>
      <c r="E77" s="274"/>
      <c r="F77" s="1625">
        <f>+F60-SUM(F64:F67,F75)</f>
        <v>9963394.4999999925</v>
      </c>
      <c r="G77" s="1701">
        <f t="shared" ref="G77:I77" si="13">+G60-SUM(G64:G67,G75)</f>
        <v>4512988.5099999923</v>
      </c>
      <c r="H77" s="1662">
        <f t="shared" si="13"/>
        <v>2852449.3064999897</v>
      </c>
      <c r="I77" s="1048">
        <f t="shared" si="13"/>
        <v>1220887.048717754</v>
      </c>
      <c r="J77" s="273" t="e">
        <f t="shared" ref="J77:L77" si="14">+J60-SUM(J64:J67,J75)</f>
        <v>#REF!</v>
      </c>
      <c r="K77" s="274" t="e">
        <f t="shared" si="14"/>
        <v>#REF!</v>
      </c>
      <c r="L77" s="273" t="e">
        <f t="shared" si="14"/>
        <v>#REF!</v>
      </c>
      <c r="M77" s="1190"/>
      <c r="O77" s="945"/>
      <c r="P77" s="944"/>
      <c r="Q77" s="944"/>
      <c r="R77" s="944"/>
      <c r="S77" s="944"/>
      <c r="T77" s="265"/>
      <c r="U77" s="265"/>
      <c r="V77" s="957"/>
    </row>
    <row r="78" spans="1:38" ht="16.5" customHeight="1" x14ac:dyDescent="0.25">
      <c r="A78" s="1988"/>
      <c r="B78" s="1928"/>
      <c r="C78" s="1929"/>
      <c r="D78" s="2040"/>
      <c r="E78" s="276"/>
      <c r="F78" s="1626">
        <f>F77/COMBINED!F56</f>
        <v>0.12065545650696281</v>
      </c>
      <c r="G78" s="1702">
        <f>G77/COMBINED!G56</f>
        <v>5.1949385928607851E-2</v>
      </c>
      <c r="H78" s="1663">
        <f>H77/COMBINED!H56</f>
        <v>3.5495818190966484E-2</v>
      </c>
      <c r="I78" s="1049">
        <f>I77/COMBINED!I56</f>
        <v>1.4768466524437014E-2</v>
      </c>
      <c r="J78" s="275" t="e">
        <f>J77/COMBINED!J56</f>
        <v>#REF!</v>
      </c>
      <c r="K78" s="276" t="e">
        <f>K77/COMBINED!K56</f>
        <v>#REF!</v>
      </c>
      <c r="L78" s="277" t="e">
        <f>L77/COMBINED!L56</f>
        <v>#REF!</v>
      </c>
      <c r="M78" s="1191"/>
      <c r="O78" s="221"/>
      <c r="P78" s="941"/>
      <c r="Q78" s="941"/>
      <c r="R78" s="941"/>
      <c r="S78" s="941"/>
      <c r="T78" s="654"/>
      <c r="U78" s="265"/>
      <c r="V78" s="957"/>
    </row>
    <row r="79" spans="1:38" ht="35.25" customHeight="1" x14ac:dyDescent="0.25">
      <c r="A79" s="2017" t="s">
        <v>391</v>
      </c>
      <c r="B79" s="2041"/>
      <c r="C79" s="2041"/>
      <c r="D79" s="2041"/>
      <c r="E79" s="986"/>
      <c r="F79" s="1617">
        <f>+SUM(F64:F67,F75,F77)</f>
        <v>13075711.499999993</v>
      </c>
      <c r="G79" s="1691">
        <f>+SUM(G64:G67,G75,G77)</f>
        <v>7754172.5099999923</v>
      </c>
      <c r="H79" s="1654">
        <f t="shared" ref="H79:I79" si="15">+SUM(H64:H67,H75,H77)</f>
        <v>5898254.3064999897</v>
      </c>
      <c r="I79" s="1043">
        <f t="shared" si="15"/>
        <v>4335942.048717754</v>
      </c>
      <c r="J79" s="278" t="e">
        <f t="shared" ref="J79:L79" si="16">+SUM(J64:J67,J75,J77)</f>
        <v>#REF!</v>
      </c>
      <c r="K79" s="279" t="e">
        <f t="shared" si="16"/>
        <v>#REF!</v>
      </c>
      <c r="L79" s="278" t="e">
        <f t="shared" si="16"/>
        <v>#REF!</v>
      </c>
      <c r="M79" s="1188"/>
      <c r="O79" s="645"/>
      <c r="P79" s="645"/>
      <c r="Q79" s="646"/>
      <c r="R79" s="646"/>
      <c r="S79" s="646"/>
    </row>
    <row r="80" spans="1:38" ht="18.75" thickBot="1" x14ac:dyDescent="0.25">
      <c r="A80" s="2042"/>
      <c r="B80" s="2043"/>
      <c r="C80" s="2043"/>
      <c r="D80" s="2043"/>
      <c r="E80" s="987"/>
      <c r="F80" s="1627">
        <f>F79/COMBINED!F56</f>
        <v>0.15834522463060594</v>
      </c>
      <c r="G80" s="1703">
        <f>G79/COMBINED!G56</f>
        <v>8.9258924410377485E-2</v>
      </c>
      <c r="H80" s="1664">
        <f>H79/COMBINED!H56</f>
        <v>7.3397750498325809E-2</v>
      </c>
      <c r="I80" s="1050">
        <f>I79/COMBINED!I56</f>
        <v>5.2449745507285442E-2</v>
      </c>
      <c r="J80" s="280" t="e">
        <f>+J79/(COMBINED!$J$49+COMBINED!$J$52+COMBINED!$J$53)</f>
        <v>#REF!</v>
      </c>
      <c r="K80" s="281" t="e">
        <f>+K79/(COMBINED!$K$49+COMBINED!$K$52+COMBINED!$K$53)</f>
        <v>#REF!</v>
      </c>
      <c r="L80" s="280" t="e">
        <f>+L79/(COMBINED!$L$49+COMBINED!$L$52+COMBINED!$L$53)</f>
        <v>#REF!</v>
      </c>
      <c r="M80" s="1192"/>
      <c r="O80" s="645"/>
      <c r="P80" s="645"/>
      <c r="Q80" s="646"/>
      <c r="R80" s="646"/>
      <c r="S80" s="646"/>
    </row>
    <row r="81" spans="1:33" s="1907" customFormat="1" ht="19.5" thickTop="1" thickBot="1" x14ac:dyDescent="0.25">
      <c r="A81" s="2044"/>
      <c r="B81" s="2045"/>
      <c r="C81" s="2045"/>
      <c r="D81" s="2045"/>
      <c r="E81" s="1192"/>
      <c r="F81" s="1192"/>
      <c r="G81" s="1704"/>
      <c r="H81" s="270"/>
      <c r="I81" s="270"/>
      <c r="J81" s="270"/>
      <c r="K81" s="270"/>
      <c r="L81" s="270"/>
      <c r="M81" s="270"/>
      <c r="N81" s="282"/>
      <c r="O81" s="633"/>
      <c r="P81" s="633"/>
      <c r="Q81" s="221"/>
      <c r="R81" s="221"/>
      <c r="S81" s="221"/>
      <c r="T81" s="282"/>
      <c r="U81" s="282"/>
      <c r="V81" s="282"/>
      <c r="W81" s="282"/>
      <c r="X81" s="282"/>
      <c r="Y81" s="282"/>
      <c r="Z81" s="282"/>
      <c r="AA81" s="282"/>
      <c r="AB81" s="282"/>
      <c r="AC81" s="282"/>
      <c r="AD81" s="282"/>
      <c r="AE81" s="282"/>
      <c r="AF81" s="282"/>
    </row>
    <row r="82" spans="1:33" ht="16.5" hidden="1" thickTop="1" x14ac:dyDescent="0.25">
      <c r="B82" s="2046" t="s">
        <v>754</v>
      </c>
      <c r="G82" s="1167"/>
      <c r="N82" s="282"/>
      <c r="T82" s="282"/>
      <c r="U82" s="282"/>
      <c r="V82" s="282"/>
      <c r="W82" s="282"/>
      <c r="X82" s="282"/>
      <c r="Y82" s="282"/>
      <c r="Z82" s="282"/>
      <c r="AA82" s="282"/>
      <c r="AB82" s="282"/>
      <c r="AC82" s="282"/>
      <c r="AD82" s="282"/>
      <c r="AE82" s="282"/>
      <c r="AF82" s="282"/>
      <c r="AG82" s="1907"/>
    </row>
    <row r="83" spans="1:33" hidden="1" x14ac:dyDescent="0.2">
      <c r="G83" s="1167"/>
      <c r="H83" s="1167"/>
      <c r="I83" s="1167"/>
      <c r="J83" s="1168"/>
      <c r="K83" s="1167"/>
      <c r="L83" s="1167"/>
      <c r="M83" s="1167"/>
      <c r="N83" s="644"/>
      <c r="O83" s="643"/>
    </row>
    <row r="84" spans="1:33" ht="15.75" hidden="1" x14ac:dyDescent="0.25">
      <c r="D84" s="2047" t="s">
        <v>749</v>
      </c>
      <c r="E84" s="1167"/>
      <c r="F84" s="1172" t="s">
        <v>761</v>
      </c>
      <c r="G84" s="1173" t="s">
        <v>750</v>
      </c>
      <c r="H84" s="1171" t="s">
        <v>751</v>
      </c>
      <c r="I84" s="1169"/>
      <c r="J84" s="1169"/>
      <c r="K84" s="1169"/>
      <c r="L84" s="1169"/>
      <c r="M84" s="1169"/>
      <c r="N84" s="644"/>
      <c r="O84" s="643"/>
    </row>
    <row r="85" spans="1:33" ht="15" hidden="1" x14ac:dyDescent="0.2">
      <c r="D85" s="2048" t="s">
        <v>752</v>
      </c>
      <c r="E85" s="1167"/>
      <c r="F85" s="1169"/>
      <c r="G85" s="1170"/>
      <c r="H85" s="1174" t="s">
        <v>753</v>
      </c>
      <c r="I85" s="1170"/>
      <c r="J85" s="1170"/>
      <c r="K85" s="1170"/>
      <c r="L85" s="1170"/>
      <c r="M85" s="1170"/>
      <c r="N85" s="644"/>
      <c r="O85" s="643"/>
    </row>
    <row r="86" spans="1:33" hidden="1" x14ac:dyDescent="0.2">
      <c r="D86" s="2049"/>
      <c r="E86" s="1167"/>
      <c r="G86" s="1169"/>
      <c r="H86" s="1169"/>
      <c r="I86" s="1169"/>
      <c r="J86" s="1169"/>
      <c r="K86" s="1169"/>
      <c r="L86" s="1169"/>
      <c r="M86" s="1169"/>
      <c r="N86" s="644"/>
      <c r="O86" s="643"/>
    </row>
    <row r="87" spans="1:33" ht="15.75" hidden="1" x14ac:dyDescent="0.25">
      <c r="D87" s="2050" t="s">
        <v>759</v>
      </c>
      <c r="E87" s="1167"/>
      <c r="I87" s="1170"/>
      <c r="J87" s="1170"/>
      <c r="K87" s="1170"/>
      <c r="L87" s="1170"/>
      <c r="M87" s="1170"/>
      <c r="N87" s="644"/>
      <c r="O87" s="643"/>
    </row>
    <row r="88" spans="1:33" ht="15.75" hidden="1" x14ac:dyDescent="0.25">
      <c r="D88" s="2051" t="s">
        <v>757</v>
      </c>
      <c r="E88" s="1184"/>
      <c r="F88" s="1185" t="s">
        <v>756</v>
      </c>
      <c r="G88" s="1173" t="s">
        <v>950</v>
      </c>
      <c r="H88" s="1171" t="s">
        <v>758</v>
      </c>
      <c r="I88" s="1170"/>
      <c r="J88" s="1170"/>
      <c r="K88" s="1170"/>
      <c r="L88" s="1170"/>
      <c r="M88" s="1170"/>
      <c r="N88" s="644"/>
      <c r="O88" s="643"/>
    </row>
    <row r="89" spans="1:33" hidden="1" x14ac:dyDescent="0.2">
      <c r="D89" s="2049"/>
      <c r="E89" s="1167"/>
      <c r="F89" s="1167"/>
      <c r="G89" s="1167"/>
      <c r="H89" s="1167"/>
      <c r="I89" s="1167"/>
      <c r="J89" s="1167"/>
      <c r="K89" s="1167"/>
      <c r="L89" s="1167"/>
      <c r="M89" s="1167"/>
      <c r="N89" s="644"/>
      <c r="O89" s="643"/>
    </row>
    <row r="90" spans="1:33" hidden="1" x14ac:dyDescent="0.2">
      <c r="D90" s="2049"/>
      <c r="E90" s="1167"/>
      <c r="G90" s="1170"/>
      <c r="H90" s="1170"/>
      <c r="I90" s="1170"/>
      <c r="J90" s="1170"/>
      <c r="K90" s="1170"/>
      <c r="L90" s="1170"/>
      <c r="M90" s="1170"/>
      <c r="N90" s="644"/>
      <c r="O90" s="643"/>
    </row>
    <row r="91" spans="1:33" ht="15.75" hidden="1" x14ac:dyDescent="0.25">
      <c r="D91" s="2052" t="s">
        <v>760</v>
      </c>
      <c r="E91" s="1167"/>
      <c r="F91" s="1167"/>
      <c r="G91" s="1167"/>
      <c r="H91" s="1167"/>
      <c r="I91" s="1167"/>
      <c r="J91" s="1167"/>
      <c r="K91" s="1167"/>
      <c r="L91" s="1167"/>
      <c r="M91" s="1167"/>
      <c r="N91" s="644"/>
      <c r="O91" s="643"/>
    </row>
    <row r="92" spans="1:33" hidden="1" x14ac:dyDescent="0.2">
      <c r="D92" s="2049"/>
      <c r="E92" s="1167"/>
      <c r="F92" s="1170"/>
      <c r="G92" s="1170"/>
      <c r="H92" s="1170"/>
      <c r="I92" s="1170"/>
      <c r="J92" s="1170"/>
      <c r="K92" s="1170"/>
      <c r="L92" s="1170"/>
      <c r="M92" s="1170"/>
      <c r="N92" s="644"/>
      <c r="O92" s="643"/>
    </row>
    <row r="93" spans="1:33" hidden="1" x14ac:dyDescent="0.2"/>
    <row r="94" spans="1:33" hidden="1" x14ac:dyDescent="0.2"/>
    <row r="95" spans="1:33" ht="15" thickTop="1" x14ac:dyDescent="0.2">
      <c r="G95" s="648"/>
      <c r="H95" s="649"/>
    </row>
    <row r="96" spans="1:33" x14ac:dyDescent="0.2">
      <c r="H96" s="648"/>
    </row>
    <row r="97" spans="6:8" x14ac:dyDescent="0.2">
      <c r="F97" s="1159"/>
      <c r="H97" s="638"/>
    </row>
    <row r="98" spans="6:8" x14ac:dyDescent="0.2">
      <c r="F98" s="1159"/>
      <c r="G98" s="1160"/>
      <c r="H98" s="638"/>
    </row>
    <row r="99" spans="6:8" x14ac:dyDescent="0.2">
      <c r="H99" s="638"/>
    </row>
    <row r="100" spans="6:8" x14ac:dyDescent="0.2">
      <c r="F100" s="1159"/>
      <c r="H100" s="638"/>
    </row>
    <row r="101" spans="6:8" x14ac:dyDescent="0.2">
      <c r="F101" s="1161"/>
      <c r="G101" s="1160"/>
      <c r="H101" s="638"/>
    </row>
    <row r="102" spans="6:8" x14ac:dyDescent="0.2">
      <c r="F102" s="1162"/>
      <c r="G102" s="1163"/>
      <c r="H102" s="638"/>
    </row>
    <row r="103" spans="6:8" x14ac:dyDescent="0.2">
      <c r="F103" s="1162"/>
      <c r="G103" s="1163"/>
      <c r="H103" s="638"/>
    </row>
    <row r="104" spans="6:8" x14ac:dyDescent="0.2">
      <c r="F104" s="1164"/>
      <c r="G104" s="1163"/>
      <c r="H104" s="648"/>
    </row>
    <row r="105" spans="6:8" x14ac:dyDescent="0.2">
      <c r="F105" s="1162"/>
      <c r="G105" s="1163"/>
      <c r="H105" s="638"/>
    </row>
    <row r="106" spans="6:8" x14ac:dyDescent="0.2">
      <c r="F106" s="1165"/>
      <c r="G106" s="1166"/>
      <c r="H106" s="649"/>
    </row>
  </sheetData>
  <sheetProtection password="DBAD" sheet="1" objects="1" scenarios="1"/>
  <printOptions horizontalCentered="1"/>
  <pageMargins left="0.25" right="0" top="0.5" bottom="0.17" header="0.23" footer="0.17"/>
  <pageSetup paperSize="5" scale="64" pageOrder="overThenDown" orientation="portrait" r:id="rId1"/>
  <headerFooter alignWithMargins="0">
    <oddHeader>&amp;C&amp;"Cambria,Bold"&amp;14Sylvan Union School District
2017-18 Budget</oddHeader>
  </headerFooter>
  <ignoredErrors>
    <ignoredError sqref="F79"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111"/>
  <sheetViews>
    <sheetView zoomScale="90" zoomScaleNormal="90" workbookViewId="0">
      <pane xSplit="3" ySplit="7" topLeftCell="D56"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619" customWidth="1"/>
    <col min="2" max="2" width="8.5703125" style="1273" customWidth="1"/>
    <col min="3" max="3" width="18.28515625" style="1263" customWidth="1"/>
    <col min="4" max="4" width="16" style="492" customWidth="1"/>
    <col min="5" max="5" width="20.42578125" style="1263" customWidth="1"/>
    <col min="6" max="6" width="6" style="836" customWidth="1"/>
    <col min="7" max="7" width="9.42578125" style="1562" bestFit="1" customWidth="1"/>
    <col min="8" max="8" width="13.85546875" style="840" bestFit="1" customWidth="1"/>
    <col min="9" max="9" width="24" style="1272" bestFit="1" customWidth="1"/>
    <col min="10" max="10" width="5.7109375" style="841" customWidth="1"/>
    <col min="11" max="11" width="10.140625" style="1579" customWidth="1"/>
    <col min="12" max="12" width="14.28515625" style="845" customWidth="1"/>
    <col min="13" max="13" width="32.28515625" style="1266" customWidth="1"/>
    <col min="14" max="14" width="5.7109375" style="836" customWidth="1"/>
    <col min="15" max="15" width="9.42578125" style="1579" bestFit="1" customWidth="1"/>
    <col min="16" max="16" width="13.85546875" style="492" bestFit="1" customWidth="1"/>
    <col min="17" max="17" width="26" style="1263" bestFit="1" customWidth="1"/>
    <col min="18" max="18" width="5.5703125" style="842" customWidth="1"/>
    <col min="19" max="19" width="16.42578125" style="836" hidden="1" customWidth="1"/>
    <col min="20" max="20" width="14" style="836" hidden="1" customWidth="1"/>
    <col min="21" max="21" width="24.85546875" style="836" hidden="1" customWidth="1"/>
    <col min="22" max="22" width="5.7109375" style="836" hidden="1" customWidth="1"/>
    <col min="23" max="23" width="9.42578125" style="836" hidden="1" customWidth="1"/>
    <col min="24" max="24" width="14" style="836" hidden="1" customWidth="1"/>
    <col min="25" max="25" width="24.85546875" style="836" hidden="1" customWidth="1"/>
    <col min="26" max="26" width="5.7109375" style="836" hidden="1" customWidth="1"/>
    <col min="27" max="27" width="10.5703125" style="836" hidden="1" customWidth="1"/>
    <col min="28" max="28" width="14" style="836" hidden="1" customWidth="1"/>
    <col min="29" max="29" width="24.85546875" style="836" hidden="1" customWidth="1"/>
    <col min="30" max="30" width="9.140625" style="836" customWidth="1"/>
    <col min="31" max="16384" width="9.140625" style="836"/>
  </cols>
  <sheetData>
    <row r="1" spans="1:31" x14ac:dyDescent="0.25">
      <c r="B1" s="1273" t="s">
        <v>61</v>
      </c>
      <c r="C1" s="1274" t="s">
        <v>60</v>
      </c>
      <c r="D1" s="827">
        <v>1062358.3700000001</v>
      </c>
      <c r="E1" s="1262" t="s">
        <v>819</v>
      </c>
      <c r="F1" s="828"/>
      <c r="G1" s="1559"/>
      <c r="H1" s="829">
        <f>ROUND(D2*0.9,0)</f>
        <v>1766199</v>
      </c>
      <c r="I1" s="1288" t="s">
        <v>168</v>
      </c>
      <c r="J1" s="830"/>
      <c r="K1" s="1578"/>
      <c r="L1" s="831">
        <f>ROUND(+H1*(LEFT(M1,5)+1),0)</f>
        <v>1804172</v>
      </c>
      <c r="M1" s="1297" t="str">
        <f>TEXT('MYP Assumptions'!$F$44,"0.00%")&amp;", COLA"</f>
        <v>2.15%, COLA</v>
      </c>
      <c r="N1" s="832"/>
      <c r="O1" s="1578"/>
      <c r="P1" s="831">
        <f>ROUND(+L1*(LEFT(Q1,5)+1),0)</f>
        <v>1846570</v>
      </c>
      <c r="Q1" s="1297" t="str">
        <f>TEXT('MYP Assumptions'!$G$44,"0.00%")&amp;", COLA"</f>
        <v>2.35%, COLA</v>
      </c>
      <c r="R1" s="833"/>
      <c r="S1" s="832"/>
      <c r="T1" s="834">
        <f>P1</f>
        <v>1846570</v>
      </c>
      <c r="U1" s="835" t="s">
        <v>173</v>
      </c>
      <c r="V1" s="832"/>
      <c r="W1" s="832"/>
      <c r="X1" s="834">
        <f>T1</f>
        <v>1846570</v>
      </c>
      <c r="Y1" s="835" t="s">
        <v>173</v>
      </c>
      <c r="Z1" s="832"/>
      <c r="AA1" s="832"/>
      <c r="AB1" s="834">
        <f>X1</f>
        <v>1846570</v>
      </c>
      <c r="AC1" s="835" t="s">
        <v>173</v>
      </c>
      <c r="AD1" s="832"/>
      <c r="AE1" s="832"/>
    </row>
    <row r="2" spans="1:31" ht="16.5" x14ac:dyDescent="0.35">
      <c r="B2" s="1275" t="s">
        <v>59</v>
      </c>
      <c r="C2" s="1276">
        <v>3010</v>
      </c>
      <c r="D2" s="827">
        <f>'RS 3010-ALL'!E8</f>
        <v>1962443</v>
      </c>
      <c r="E2" s="1262" t="s">
        <v>483</v>
      </c>
      <c r="F2" s="828"/>
      <c r="G2" s="1560"/>
      <c r="H2" s="1406">
        <f>-D3-D4</f>
        <v>599346.74</v>
      </c>
      <c r="I2" s="1407" t="s">
        <v>825</v>
      </c>
      <c r="J2" s="830"/>
      <c r="K2" s="1578"/>
      <c r="L2" s="837">
        <v>0</v>
      </c>
      <c r="M2" s="1297" t="s">
        <v>170</v>
      </c>
      <c r="N2" s="832"/>
      <c r="O2" s="1578"/>
      <c r="P2" s="837">
        <v>0</v>
      </c>
      <c r="Q2" s="1308"/>
      <c r="R2" s="833"/>
      <c r="S2" s="832"/>
      <c r="T2" s="837">
        <v>0</v>
      </c>
      <c r="U2" s="835"/>
      <c r="V2" s="832"/>
      <c r="W2" s="832"/>
      <c r="X2" s="837">
        <v>0</v>
      </c>
      <c r="Y2" s="835"/>
      <c r="Z2" s="832"/>
      <c r="AA2" s="832"/>
      <c r="AB2" s="837">
        <v>0</v>
      </c>
      <c r="AC2" s="835"/>
      <c r="AD2" s="832"/>
      <c r="AE2" s="832"/>
    </row>
    <row r="3" spans="1:31" x14ac:dyDescent="0.25">
      <c r="D3" s="1401">
        <f>-ROUND(D2*0.15,0)</f>
        <v>-294366</v>
      </c>
      <c r="E3" s="1402" t="s">
        <v>820</v>
      </c>
      <c r="F3" s="839"/>
      <c r="G3" s="1561"/>
      <c r="H3" s="1408">
        <v>-1141</v>
      </c>
      <c r="I3" s="1409" t="s">
        <v>824</v>
      </c>
      <c r="J3" s="830"/>
      <c r="K3" s="1578"/>
      <c r="L3" s="831">
        <f>SUM(L1:L2)</f>
        <v>1804172</v>
      </c>
      <c r="M3" s="1298"/>
      <c r="N3" s="832"/>
      <c r="O3" s="1578"/>
      <c r="P3" s="831">
        <f>SUM(P1:P2)</f>
        <v>1846570</v>
      </c>
      <c r="Q3" s="1308"/>
      <c r="R3" s="833"/>
      <c r="S3" s="832"/>
      <c r="T3" s="834">
        <f>SUM(T1:T2)</f>
        <v>1846570</v>
      </c>
      <c r="U3" s="835"/>
      <c r="V3" s="832"/>
      <c r="W3" s="832"/>
      <c r="X3" s="834">
        <f>SUM(X1:X2)</f>
        <v>1846570</v>
      </c>
      <c r="Y3" s="835"/>
      <c r="Z3" s="832"/>
      <c r="AA3" s="832"/>
      <c r="AB3" s="834">
        <f>SUM(AB1:AB2)</f>
        <v>1846570</v>
      </c>
      <c r="AC3" s="835"/>
      <c r="AD3" s="832"/>
      <c r="AE3" s="832"/>
    </row>
    <row r="4" spans="1:31" x14ac:dyDescent="0.25">
      <c r="D4" s="1401">
        <v>-304980.74</v>
      </c>
      <c r="E4" s="1402" t="s">
        <v>821</v>
      </c>
      <c r="F4" s="839"/>
      <c r="G4" s="1561"/>
      <c r="H4" s="838">
        <f>+SUM(H1:H3)</f>
        <v>2364404.7400000002</v>
      </c>
      <c r="I4" s="1288"/>
      <c r="J4" s="830"/>
      <c r="K4" s="1578"/>
      <c r="L4" s="831"/>
      <c r="M4" s="1298"/>
      <c r="N4" s="832"/>
      <c r="O4" s="1578"/>
      <c r="P4" s="831"/>
      <c r="Q4" s="1308"/>
      <c r="R4" s="833"/>
      <c r="S4" s="832"/>
      <c r="T4" s="834"/>
      <c r="U4" s="835"/>
      <c r="V4" s="832"/>
      <c r="W4" s="832"/>
      <c r="X4" s="834"/>
      <c r="Y4" s="835"/>
      <c r="Z4" s="832"/>
      <c r="AA4" s="832"/>
      <c r="AB4" s="834"/>
      <c r="AC4" s="835"/>
      <c r="AD4" s="832"/>
      <c r="AE4" s="832"/>
    </row>
    <row r="5" spans="1:31" x14ac:dyDescent="0.25">
      <c r="D5" s="838">
        <f>+SUM(D1:D4)</f>
        <v>2425454.63</v>
      </c>
      <c r="E5" s="1401">
        <f>-D3-D4</f>
        <v>599346.74</v>
      </c>
      <c r="L5" s="840"/>
      <c r="M5" s="1271"/>
      <c r="P5" s="840"/>
      <c r="Q5" s="1272"/>
      <c r="T5" s="843"/>
      <c r="U5" s="844"/>
      <c r="X5" s="843"/>
      <c r="Y5" s="844"/>
      <c r="AB5" s="843"/>
      <c r="AC5" s="844"/>
    </row>
    <row r="6" spans="1:31" ht="15.75" x14ac:dyDescent="0.25">
      <c r="B6" s="1277" t="s">
        <v>56</v>
      </c>
      <c r="H6" s="829">
        <f>+H1-D2</f>
        <v>-196244</v>
      </c>
      <c r="I6" s="1288" t="s">
        <v>822</v>
      </c>
      <c r="P6" s="845"/>
      <c r="T6" s="846"/>
      <c r="X6" s="846"/>
      <c r="AB6" s="846"/>
    </row>
    <row r="7" spans="1:31" s="849" customFormat="1" ht="15.75" x14ac:dyDescent="0.25">
      <c r="A7" s="847"/>
      <c r="B7" s="1278"/>
      <c r="C7" s="1278"/>
      <c r="D7" s="848" t="s">
        <v>55</v>
      </c>
      <c r="E7" s="1264"/>
      <c r="G7" s="1563"/>
      <c r="H7" s="850" t="str">
        <f>LEFT(D7,4)+1&amp;"-"&amp;RIGHT(D7,4)+1</f>
        <v>2017-2018</v>
      </c>
      <c r="I7" s="1289"/>
      <c r="J7" s="851"/>
      <c r="K7" s="1580"/>
      <c r="L7" s="852" t="str">
        <f>LEFT(H7,4)+1&amp;"-"&amp;RIGHT(H7,4)+1</f>
        <v>2018-2019</v>
      </c>
      <c r="M7" s="1299"/>
      <c r="N7" s="853"/>
      <c r="O7" s="1584"/>
      <c r="P7" s="852" t="str">
        <f>LEFT(L7,4)+1&amp;"-"&amp;RIGHT(L7,4)+1</f>
        <v>2019-2020</v>
      </c>
      <c r="Q7" s="1309"/>
      <c r="R7" s="854"/>
      <c r="S7" s="855"/>
      <c r="T7" s="855" t="str">
        <f>LEFT(P7,4)+1&amp;"-"&amp;RIGHT(P7,4)+1</f>
        <v>2020-2021</v>
      </c>
      <c r="U7" s="855"/>
      <c r="V7" s="853"/>
      <c r="W7" s="855"/>
      <c r="X7" s="855" t="str">
        <f>LEFT(T7,4)+1&amp;"-"&amp;RIGHT(T7,4)+1</f>
        <v>2021-2022</v>
      </c>
      <c r="Y7" s="855"/>
      <c r="Z7" s="853"/>
      <c r="AA7" s="855"/>
      <c r="AB7" s="855" t="str">
        <f>LEFT(X7,4)+1&amp;"-"&amp;RIGHT(X7,4)+1</f>
        <v>2022-2023</v>
      </c>
      <c r="AC7" s="855"/>
    </row>
    <row r="8" spans="1:31" x14ac:dyDescent="0.25">
      <c r="B8" s="1279" t="str">
        <f>'2016-17  RS 3010-DO &amp; All Sites'!AD7</f>
        <v>Beginning Balance</v>
      </c>
      <c r="D8" s="492">
        <v>0</v>
      </c>
      <c r="H8" s="492">
        <f>D89</f>
        <v>0</v>
      </c>
      <c r="J8" s="856"/>
      <c r="L8" s="492">
        <f>H89</f>
        <v>0</v>
      </c>
      <c r="M8" s="1300"/>
      <c r="P8" s="492">
        <f>L89</f>
        <v>0</v>
      </c>
      <c r="Q8" s="1310"/>
      <c r="T8" s="492">
        <f>P89</f>
        <v>0</v>
      </c>
      <c r="U8" s="846"/>
      <c r="X8" s="492">
        <f>T89</f>
        <v>-12773</v>
      </c>
      <c r="Y8" s="846"/>
      <c r="AB8" s="492">
        <f>X89</f>
        <v>-70811</v>
      </c>
      <c r="AC8" s="846"/>
    </row>
    <row r="9" spans="1:31" x14ac:dyDescent="0.25">
      <c r="H9" s="1404"/>
      <c r="I9" s="1405"/>
      <c r="L9" s="492"/>
      <c r="M9" s="1300"/>
      <c r="Q9" s="1310"/>
      <c r="U9" s="846"/>
      <c r="Y9" s="846"/>
      <c r="AC9" s="846"/>
    </row>
    <row r="10" spans="1:31" x14ac:dyDescent="0.25">
      <c r="B10" s="1279" t="str">
        <f>'2016-17  RS 3010-DO &amp; All Sites'!AD9</f>
        <v>Revenue</v>
      </c>
      <c r="C10" s="1263" t="str">
        <f>'2016-17  RS 3010-DO &amp; All Sites'!AE9</f>
        <v xml:space="preserve">Current Year </v>
      </c>
      <c r="D10" s="492">
        <f>+D2+D3+D4</f>
        <v>1363096.26</v>
      </c>
      <c r="E10" s="1263" t="s">
        <v>214</v>
      </c>
      <c r="G10" s="1537">
        <f>IF(D10=0,"0.00%",(H10-D10)/D10)</f>
        <v>0.29488874101965473</v>
      </c>
      <c r="H10" s="494">
        <f>+H1+H3</f>
        <v>1765058</v>
      </c>
      <c r="I10" s="1290" t="s">
        <v>209</v>
      </c>
      <c r="J10" s="495"/>
      <c r="K10" s="1537">
        <f>IF(H10=0,"0.00%",(L10-H10)/H10)</f>
        <v>2.2160178305755392E-2</v>
      </c>
      <c r="L10" s="494">
        <f>+L1</f>
        <v>1804172</v>
      </c>
      <c r="M10" s="1301" t="str">
        <f>+M1</f>
        <v>2.15%, COLA</v>
      </c>
      <c r="O10" s="1537">
        <f>IF(L10=0,"0.00%",(P10-L10)/L10)</f>
        <v>2.3499976720623088E-2</v>
      </c>
      <c r="P10" s="494">
        <f>+P1</f>
        <v>1846570</v>
      </c>
      <c r="Q10" s="1280" t="str">
        <f>+Q1</f>
        <v>2.35%, COLA</v>
      </c>
      <c r="S10" s="493">
        <f>IF(P10=0,"0.00%",(T10-P10)/P10)</f>
        <v>0</v>
      </c>
      <c r="T10" s="494">
        <f>T3</f>
        <v>1846570</v>
      </c>
      <c r="U10" s="857" t="s">
        <v>174</v>
      </c>
      <c r="W10" s="493">
        <f>IF(T10=0,"0.00%",(X10-T10)/T10)</f>
        <v>0</v>
      </c>
      <c r="X10" s="494">
        <f>X3</f>
        <v>1846570</v>
      </c>
      <c r="Y10" s="857" t="s">
        <v>174</v>
      </c>
      <c r="AA10" s="493">
        <f>IF(X10=0,"0.00%",(AB10-X10)/X10)</f>
        <v>0</v>
      </c>
      <c r="AB10" s="494">
        <f>AB3</f>
        <v>1846570</v>
      </c>
      <c r="AC10" s="857" t="s">
        <v>174</v>
      </c>
    </row>
    <row r="11" spans="1:31" x14ac:dyDescent="0.25">
      <c r="B11" s="1280"/>
      <c r="C11" s="1263" t="str">
        <f>'2016-17  RS 3010-DO &amp; All Sites'!AE10</f>
        <v>Prior Carryover</v>
      </c>
      <c r="D11" s="492">
        <f>'RS 3010-ALL'!C10</f>
        <v>1062358.3700000001</v>
      </c>
      <c r="E11" s="1263" t="s">
        <v>175</v>
      </c>
      <c r="G11" s="1537">
        <f t="shared" ref="G11:G16" si="0">IF(D11=0,"0.00%",(H11-D11)/D11)</f>
        <v>-0.4358344444539935</v>
      </c>
      <c r="H11" s="1403">
        <f>ROUNDDOWN(-D3-D4,0)</f>
        <v>599346</v>
      </c>
      <c r="I11" s="1290" t="s">
        <v>225</v>
      </c>
      <c r="J11" s="495"/>
      <c r="K11" s="1537">
        <f>IF(H11=0,"0.00%",(L11-H11)/H11)</f>
        <v>-1</v>
      </c>
      <c r="L11" s="494"/>
      <c r="M11" s="1301"/>
      <c r="O11" s="1537" t="str">
        <f>IF(L11=0,"0.00%",(P11-L11)/L11)</f>
        <v>0.00%</v>
      </c>
      <c r="P11" s="494"/>
      <c r="Q11" s="1280"/>
      <c r="S11" s="493" t="str">
        <f>IF(P11=0,"0.00%",(T11-P11)/P11)</f>
        <v>0.00%</v>
      </c>
      <c r="T11" s="494">
        <f>-P2</f>
        <v>0</v>
      </c>
      <c r="U11" s="858"/>
      <c r="W11" s="493" t="str">
        <f>IF(T11=0,"0.00%",(X11-T11)/T11)</f>
        <v>0.00%</v>
      </c>
      <c r="X11" s="494">
        <f>-T2</f>
        <v>0</v>
      </c>
      <c r="Y11" s="858"/>
      <c r="AA11" s="493" t="str">
        <f>IF(X11=0,"0.00%",(AB11-X11)/X11)</f>
        <v>0.00%</v>
      </c>
      <c r="AB11" s="494">
        <f>-X2</f>
        <v>0</v>
      </c>
      <c r="AC11" s="858"/>
    </row>
    <row r="12" spans="1:31" x14ac:dyDescent="0.25">
      <c r="B12" s="1279" t="str">
        <f>'2016-17  RS 3010-DO &amp; All Sites'!AD11</f>
        <v>TOTAL REVENUE</v>
      </c>
      <c r="D12" s="859">
        <f>SUM(D9:D11)</f>
        <v>2425454.63</v>
      </c>
      <c r="G12" s="1537">
        <f t="shared" si="0"/>
        <v>-2.5170798597869418E-2</v>
      </c>
      <c r="H12" s="859">
        <f>SUM(H9:H11)</f>
        <v>2364404</v>
      </c>
      <c r="I12" s="1882">
        <f>+H12-D12</f>
        <v>-61050.629999999888</v>
      </c>
      <c r="J12" s="860"/>
      <c r="K12" s="1537">
        <f>IF(H12=0,"0.00%",(L12-H12)/H12)</f>
        <v>-0.23694427855814826</v>
      </c>
      <c r="L12" s="859">
        <f>SUM(L10:L11)</f>
        <v>1804172</v>
      </c>
      <c r="M12" s="1882">
        <f>+L12-H12</f>
        <v>-560232</v>
      </c>
      <c r="O12" s="1537">
        <f>IF(L12=0,"0.00%",(P12-L12)/L12)</f>
        <v>2.3499976720623088E-2</v>
      </c>
      <c r="P12" s="859">
        <f>SUM(P10:P11)</f>
        <v>1846570</v>
      </c>
      <c r="Q12" s="1882">
        <f>+P12-L12</f>
        <v>42398</v>
      </c>
      <c r="S12" s="493">
        <f>IF(P12=0,"0.00%",(T12-P12)/P12)</f>
        <v>0</v>
      </c>
      <c r="T12" s="861">
        <f>SUM(T10:T11)</f>
        <v>1846570</v>
      </c>
      <c r="U12" s="858"/>
      <c r="W12" s="493">
        <f>IF(T12=0,"0.00%",(X12-T12)/T12)</f>
        <v>0</v>
      </c>
      <c r="X12" s="861">
        <f>SUM(X10:X11)</f>
        <v>1846570</v>
      </c>
      <c r="Y12" s="858"/>
      <c r="AA12" s="493">
        <f>IF(X12=0,"0.00%",(AB12-X12)/X12)</f>
        <v>0</v>
      </c>
      <c r="AB12" s="861">
        <f>SUM(AB10:AB11)</f>
        <v>1846570</v>
      </c>
      <c r="AC12" s="858"/>
    </row>
    <row r="13" spans="1:31" x14ac:dyDescent="0.25">
      <c r="H13" s="494"/>
      <c r="I13" s="1400"/>
      <c r="J13" s="862"/>
      <c r="K13" s="1562"/>
      <c r="L13" s="494"/>
      <c r="M13" s="1301"/>
      <c r="O13" s="1562"/>
      <c r="P13" s="494"/>
      <c r="Q13" s="1280"/>
      <c r="S13" s="863"/>
      <c r="T13" s="864"/>
      <c r="U13" s="858"/>
      <c r="W13" s="863"/>
      <c r="X13" s="864"/>
      <c r="Y13" s="858"/>
      <c r="AA13" s="863"/>
      <c r="AB13" s="864"/>
      <c r="AC13" s="858"/>
    </row>
    <row r="14" spans="1:31" x14ac:dyDescent="0.25">
      <c r="C14" s="1281" t="str">
        <f>'2016-17  RS 3010-DO &amp; All Sites'!AE13</f>
        <v>Indirect Costs</v>
      </c>
      <c r="D14" s="865">
        <v>97422</v>
      </c>
      <c r="E14" s="1427">
        <f>'2016-17  RS 3010-DO &amp; All Sites'!AD13</f>
        <v>3.6999999999999998E-2</v>
      </c>
      <c r="G14" s="1537">
        <f t="shared" si="0"/>
        <v>3.176900494754778E-2</v>
      </c>
      <c r="H14" s="865">
        <f>ROUND(H12-(H12/(1+I14)),0)</f>
        <v>100517</v>
      </c>
      <c r="I14" s="1427">
        <v>4.4400000000000002E-2</v>
      </c>
      <c r="J14" s="866"/>
      <c r="K14" s="1537">
        <f>IF(H14=0,"0.00%",(L14-H14)/H14)</f>
        <v>-0.23694499437906025</v>
      </c>
      <c r="L14" s="865">
        <f>ROUND(L12-(L12/(1+M14)),0)</f>
        <v>76700</v>
      </c>
      <c r="M14" s="1427">
        <v>4.4400000000000002E-2</v>
      </c>
      <c r="O14" s="1537">
        <f>IF(L14=0,"0.00%",(P14-L14)/L14)</f>
        <v>2.349413298565841E-2</v>
      </c>
      <c r="P14" s="865">
        <f>ROUND(P12-(P12/(1+Q14)),0)</f>
        <v>78502</v>
      </c>
      <c r="Q14" s="1427">
        <v>4.4400000000000002E-2</v>
      </c>
      <c r="S14" s="493">
        <f>IF(P14=0,"0.00%",(T14-P14)/P14)</f>
        <v>-0.16072201982115106</v>
      </c>
      <c r="T14" s="867">
        <f>ROUND(T12-(T12/(1+E14)),0)</f>
        <v>65885</v>
      </c>
      <c r="U14" s="858"/>
      <c r="W14" s="493">
        <f>IF(T14=0,"0.00%",(X14-T14)/T14)</f>
        <v>0</v>
      </c>
      <c r="X14" s="867">
        <f>ROUND(X12-(X12/(1+E14)),0)</f>
        <v>65885</v>
      </c>
      <c r="Y14" s="858"/>
      <c r="AA14" s="493">
        <f>IF(X14=0,"0.00%",(AB14-X14)/X14)</f>
        <v>-0.13702663732260759</v>
      </c>
      <c r="AB14" s="867">
        <f>ROUND(AB12-(AB12/(1+G14)),0)</f>
        <v>56857</v>
      </c>
      <c r="AC14" s="858"/>
    </row>
    <row r="15" spans="1:31" x14ac:dyDescent="0.25">
      <c r="H15" s="494"/>
      <c r="I15" s="1291"/>
      <c r="J15" s="862"/>
      <c r="K15" s="1562"/>
      <c r="L15" s="494"/>
      <c r="M15" s="1300"/>
      <c r="O15" s="1562"/>
      <c r="P15" s="494"/>
      <c r="Q15" s="1280"/>
      <c r="S15" s="863"/>
      <c r="T15" s="864"/>
      <c r="U15" s="846"/>
      <c r="W15" s="863"/>
      <c r="X15" s="864"/>
      <c r="Y15" s="846"/>
      <c r="AA15" s="863"/>
      <c r="AB15" s="864"/>
      <c r="AC15" s="846"/>
    </row>
    <row r="16" spans="1:31" x14ac:dyDescent="0.25">
      <c r="B16" s="1279" t="str">
        <f>'2016-17  RS 3010-DO &amp; All Sites'!AD15</f>
        <v xml:space="preserve">TOTAL AVAILABLE </v>
      </c>
      <c r="D16" s="868">
        <f>D12-D14</f>
        <v>2328032.63</v>
      </c>
      <c r="G16" s="1537">
        <f t="shared" si="0"/>
        <v>-2.7553578576774453E-2</v>
      </c>
      <c r="H16" s="865">
        <f>H12-H14</f>
        <v>2263887</v>
      </c>
      <c r="I16" s="1882">
        <f>+H16-D16</f>
        <v>-64145.629999999888</v>
      </c>
      <c r="J16" s="860"/>
      <c r="K16" s="1537">
        <f>IF(H16=0,"0.00%",(L16-H16)/H16)</f>
        <v>-0.23694424677556786</v>
      </c>
      <c r="L16" s="865">
        <f>L12-L14</f>
        <v>1727472</v>
      </c>
      <c r="M16" s="1882">
        <f>+L16-H16</f>
        <v>-536415</v>
      </c>
      <c r="O16" s="1537">
        <f>IF(L16=0,"0.00%",(P16-L16)/L16)</f>
        <v>2.3500236183278223E-2</v>
      </c>
      <c r="P16" s="865">
        <f>P12-P14</f>
        <v>1768068</v>
      </c>
      <c r="Q16" s="1882">
        <f>+P16-L16</f>
        <v>40596</v>
      </c>
      <c r="S16" s="493">
        <f>IF(P16=0,"0.00%",(T16-P16)/P16)</f>
        <v>7.1360377542040235E-3</v>
      </c>
      <c r="T16" s="869">
        <f>T12-T14</f>
        <v>1780685</v>
      </c>
      <c r="U16" s="846"/>
      <c r="W16" s="493">
        <f>IF(T16=0,"0.00%",(X16-T16)/T16)</f>
        <v>0</v>
      </c>
      <c r="X16" s="869">
        <f>X12-X14</f>
        <v>1780685</v>
      </c>
      <c r="Y16" s="846"/>
      <c r="AA16" s="493">
        <f>IF(X16=0,"0.00%",(AB16-X16)/X16)</f>
        <v>5.0699590326194694E-3</v>
      </c>
      <c r="AB16" s="869">
        <f>AB12-AB14</f>
        <v>1789713</v>
      </c>
      <c r="AC16" s="846"/>
    </row>
    <row r="17" spans="1:29" x14ac:dyDescent="0.25">
      <c r="H17" s="494"/>
      <c r="I17" s="494"/>
      <c r="J17" s="860"/>
      <c r="L17" s="494"/>
      <c r="M17" s="1300"/>
      <c r="P17" s="494"/>
      <c r="Q17" s="1310"/>
      <c r="T17" s="870"/>
      <c r="U17" s="846"/>
      <c r="X17" s="870"/>
      <c r="Y17" s="846"/>
      <c r="AB17" s="870"/>
      <c r="AC17" s="846"/>
    </row>
    <row r="18" spans="1:29" x14ac:dyDescent="0.25">
      <c r="C18" s="1273"/>
      <c r="H18" s="494"/>
      <c r="I18" s="1291"/>
      <c r="J18" s="862"/>
      <c r="L18" s="494"/>
      <c r="M18" s="1300"/>
      <c r="P18" s="494"/>
      <c r="Q18" s="1310"/>
      <c r="T18" s="864"/>
      <c r="U18" s="846"/>
      <c r="X18" s="864"/>
      <c r="Y18" s="846"/>
      <c r="AB18" s="864"/>
      <c r="AC18" s="846"/>
    </row>
    <row r="19" spans="1:29" x14ac:dyDescent="0.25">
      <c r="A19" s="871"/>
      <c r="B19" s="1279" t="s">
        <v>176</v>
      </c>
      <c r="D19" s="29" t="s">
        <v>874</v>
      </c>
      <c r="E19" s="1316"/>
      <c r="F19" s="32"/>
      <c r="G19" s="1399"/>
      <c r="H19" s="29" t="s">
        <v>177</v>
      </c>
      <c r="I19" s="1292"/>
      <c r="J19" s="872"/>
      <c r="M19" s="1300"/>
      <c r="Q19" s="1310"/>
      <c r="U19" s="846"/>
      <c r="Y19" s="846"/>
      <c r="AC19" s="846"/>
    </row>
    <row r="20" spans="1:29" ht="17.25" x14ac:dyDescent="0.4">
      <c r="A20" s="873"/>
      <c r="D20" s="35" t="s">
        <v>875</v>
      </c>
      <c r="E20" s="1246"/>
      <c r="F20" s="34"/>
      <c r="G20" s="1399"/>
      <c r="H20" s="35" t="s">
        <v>48</v>
      </c>
      <c r="I20" s="1293"/>
      <c r="J20" s="621"/>
      <c r="L20" s="874" t="s">
        <v>48</v>
      </c>
      <c r="M20" s="1508">
        <v>0.02</v>
      </c>
      <c r="P20" s="874" t="s">
        <v>48</v>
      </c>
      <c r="Q20" s="1508">
        <v>0.02</v>
      </c>
      <c r="T20" s="874" t="s">
        <v>48</v>
      </c>
      <c r="U20" s="875">
        <v>0.02</v>
      </c>
      <c r="X20" s="874" t="s">
        <v>48</v>
      </c>
      <c r="Y20" s="875">
        <v>0.02</v>
      </c>
      <c r="AB20" s="874" t="s">
        <v>48</v>
      </c>
      <c r="AC20" s="875">
        <v>0.02</v>
      </c>
    </row>
    <row r="21" spans="1:29" s="877" customFormat="1" x14ac:dyDescent="0.25">
      <c r="A21" s="623"/>
      <c r="B21" s="1279" t="str">
        <f>'2016-17  RS 3010-DO &amp; All Sites'!AD20</f>
        <v xml:space="preserve">Certificated </v>
      </c>
      <c r="C21" s="1281"/>
      <c r="D21" s="868"/>
      <c r="E21" s="1265"/>
      <c r="F21" s="868"/>
      <c r="G21" s="1564"/>
      <c r="H21" s="868"/>
      <c r="I21" s="1267"/>
      <c r="J21" s="622"/>
      <c r="K21" s="1581"/>
      <c r="L21" s="868"/>
      <c r="M21" s="1302"/>
      <c r="O21" s="1581"/>
      <c r="P21" s="868"/>
      <c r="Q21" s="1311"/>
      <c r="R21" s="878"/>
      <c r="T21" s="868"/>
      <c r="U21" s="879"/>
      <c r="X21" s="868"/>
      <c r="Y21" s="879"/>
      <c r="AB21" s="868"/>
      <c r="AC21" s="879"/>
    </row>
    <row r="22" spans="1:29" x14ac:dyDescent="0.25">
      <c r="A22" s="495"/>
      <c r="B22" s="1282" t="str">
        <f>'2016-17  RS 3010-DO &amp; All Sites'!AD21</f>
        <v>1110</v>
      </c>
      <c r="C22" s="1280" t="str">
        <f>'2016-17  RS 3010-DO &amp; All Sites'!AE21</f>
        <v>Intervention Tchr.</v>
      </c>
      <c r="D22" s="492">
        <v>54289</v>
      </c>
      <c r="E22" s="1266"/>
      <c r="F22" s="492"/>
      <c r="G22" s="1537">
        <f t="shared" ref="G22:G30" si="1">IF(D22=0,"0.00%",(H22-D22)/D22)</f>
        <v>-0.20517968649265966</v>
      </c>
      <c r="H22" s="492">
        <v>43150</v>
      </c>
      <c r="I22" s="1268"/>
      <c r="J22" s="617"/>
      <c r="K22" s="1537">
        <f t="shared" ref="K22:K28" si="2">IF(H22=0,"0.00%",(L22-H22)/H22)</f>
        <v>0</v>
      </c>
      <c r="L22" s="492">
        <f>ROUND(H22*(1-$L$58),0)</f>
        <v>43150</v>
      </c>
      <c r="M22" s="1271" t="s">
        <v>174</v>
      </c>
      <c r="O22" s="1537">
        <f t="shared" ref="O22:O28" si="3">IF(L22=0,"0.00%",(P22-L22)/L22)</f>
        <v>0</v>
      </c>
      <c r="P22" s="492">
        <f>ROUND(L22*(1-$P$58),0)</f>
        <v>43150</v>
      </c>
      <c r="Q22" s="1271" t="s">
        <v>174</v>
      </c>
      <c r="S22" s="493">
        <f t="shared" ref="S22:S28" si="4">IF(P22=0,"0.00%",(T22-P22)/P22)</f>
        <v>0.02</v>
      </c>
      <c r="T22" s="492">
        <f>ROUND(P22*(1+U20),0)</f>
        <v>44013</v>
      </c>
      <c r="U22" s="880" t="str">
        <f>TEXT(U20,"0.0%")&amp;" = Est. S &amp; C"</f>
        <v>2.0% = Est. S &amp; C</v>
      </c>
      <c r="W22" s="493">
        <f t="shared" ref="W22:W28" si="5">IF(T22=0,"0.00%",(X22-T22)/T22)</f>
        <v>1.9994092654443005E-2</v>
      </c>
      <c r="X22" s="492">
        <f>ROUND(T22*(1+Y20),0)</f>
        <v>44893</v>
      </c>
      <c r="Y22" s="880" t="str">
        <f>TEXT(Y20,"0.0%")&amp;" = Est. S &amp; C"</f>
        <v>2.0% = Est. S &amp; C</v>
      </c>
      <c r="AA22" s="493">
        <f t="shared" ref="AA22:AA28" si="6">IF(X22=0,"0.00%",(AB22-X22)/X22)</f>
        <v>2.0003118526273584E-2</v>
      </c>
      <c r="AB22" s="492">
        <f>ROUND(X22*(1+AC20),0)</f>
        <v>45791</v>
      </c>
      <c r="AC22" s="880" t="str">
        <f>TEXT(AC20,"0.0%")&amp;" = Est. S &amp; C"</f>
        <v>2.0% = Est. S &amp; C</v>
      </c>
    </row>
    <row r="23" spans="1:29" x14ac:dyDescent="0.25">
      <c r="A23" s="617"/>
      <c r="B23" s="1282" t="str">
        <f>'2016-17  RS 3010-DO &amp; All Sites'!AD22</f>
        <v>1112</v>
      </c>
      <c r="C23" s="1280" t="str">
        <f>'2016-17  RS 3010-DO &amp; All Sites'!AE22</f>
        <v>Supplemental Tchr./Extra Duty/Training</v>
      </c>
      <c r="D23" s="492">
        <v>52289</v>
      </c>
      <c r="E23" s="1266"/>
      <c r="F23" s="492"/>
      <c r="G23" s="1537">
        <f t="shared" si="1"/>
        <v>-0.61751037503107731</v>
      </c>
      <c r="H23" s="492">
        <v>20000</v>
      </c>
      <c r="I23" s="1271"/>
      <c r="J23" s="617"/>
      <c r="K23" s="1537">
        <f t="shared" si="2"/>
        <v>0</v>
      </c>
      <c r="L23" s="492">
        <f>ROUND(H23*(1-$L$58),0)</f>
        <v>20000</v>
      </c>
      <c r="M23" s="1271" t="s">
        <v>174</v>
      </c>
      <c r="O23" s="1537">
        <f t="shared" si="3"/>
        <v>0</v>
      </c>
      <c r="P23" s="492">
        <f>ROUND(L23*(1-$P$58),0)</f>
        <v>20000</v>
      </c>
      <c r="Q23" s="1271" t="s">
        <v>174</v>
      </c>
      <c r="S23" s="493">
        <f t="shared" si="4"/>
        <v>0.02</v>
      </c>
      <c r="T23" s="492">
        <f>ROUND(P23*(1+U20),0)</f>
        <v>20400</v>
      </c>
      <c r="U23" s="880" t="str">
        <f>TEXT(U20,"0.0%")&amp;" = Est. S &amp; C"</f>
        <v>2.0% = Est. S &amp; C</v>
      </c>
      <c r="W23" s="493">
        <f t="shared" si="5"/>
        <v>0.02</v>
      </c>
      <c r="X23" s="492">
        <f>ROUND(T23*(1+Y20),0)</f>
        <v>20808</v>
      </c>
      <c r="Y23" s="880" t="str">
        <f>TEXT(Y20,"0.0%")&amp;" = Est. S &amp; C"</f>
        <v>2.0% = Est. S &amp; C</v>
      </c>
      <c r="AA23" s="493">
        <f t="shared" si="6"/>
        <v>1.9992310649750097E-2</v>
      </c>
      <c r="AB23" s="492">
        <f>ROUND(X23*(1+AC20),0)</f>
        <v>21224</v>
      </c>
      <c r="AC23" s="880" t="str">
        <f>TEXT(AC20,"0.0%")&amp;" = Est. S &amp; C"</f>
        <v>2.0% = Est. S &amp; C</v>
      </c>
    </row>
    <row r="24" spans="1:29" x14ac:dyDescent="0.25">
      <c r="A24" s="617"/>
      <c r="B24" s="1282" t="str">
        <f>'2016-17  RS 3010-DO &amp; All Sites'!AD23</f>
        <v>1181</v>
      </c>
      <c r="C24" s="1280" t="str">
        <f>'2016-17  RS 3010-DO &amp; All Sites'!AE23</f>
        <v>Subs</v>
      </c>
      <c r="D24" s="492">
        <v>92329</v>
      </c>
      <c r="E24" s="1266"/>
      <c r="F24" s="492"/>
      <c r="G24" s="1537">
        <f t="shared" si="1"/>
        <v>0.25854281969911946</v>
      </c>
      <c r="H24" s="492">
        <v>116200</v>
      </c>
      <c r="I24" s="1271"/>
      <c r="J24" s="617"/>
      <c r="K24" s="1537">
        <f t="shared" si="2"/>
        <v>0</v>
      </c>
      <c r="L24" s="492">
        <f>ROUND(H24*(1-$L$58),0)</f>
        <v>116200</v>
      </c>
      <c r="M24" s="1271" t="s">
        <v>174</v>
      </c>
      <c r="O24" s="1537">
        <f t="shared" si="3"/>
        <v>0</v>
      </c>
      <c r="P24" s="492">
        <f>ROUND(L24*(1-$P$58),0)</f>
        <v>116200</v>
      </c>
      <c r="Q24" s="1271" t="s">
        <v>174</v>
      </c>
      <c r="S24" s="493">
        <f t="shared" si="4"/>
        <v>0.02</v>
      </c>
      <c r="T24" s="492">
        <f>ROUND(P24*(1+U20),0)</f>
        <v>118524</v>
      </c>
      <c r="U24" s="880" t="str">
        <f>TEXT(U20,"0.0%")&amp;" = Est. S &amp; C"</f>
        <v>2.0% = Est. S &amp; C</v>
      </c>
      <c r="W24" s="493">
        <f t="shared" si="5"/>
        <v>1.9995950187303838E-2</v>
      </c>
      <c r="X24" s="492">
        <f>ROUND(T24*(1+Y20),0)</f>
        <v>120894</v>
      </c>
      <c r="Y24" s="880" t="str">
        <f>TEXT(Y20,"0.0%")&amp;" = Est. S &amp; C"</f>
        <v>2.0% = Est. S &amp; C</v>
      </c>
      <c r="AA24" s="493">
        <f t="shared" si="6"/>
        <v>2.0000992605092065E-2</v>
      </c>
      <c r="AB24" s="492">
        <f>ROUND(X24*(1+AC20),0)</f>
        <v>123312</v>
      </c>
      <c r="AC24" s="880" t="str">
        <f>TEXT(AC20,"0.0%")&amp;" = Est. S &amp; C"</f>
        <v>2.0% = Est. S &amp; C</v>
      </c>
    </row>
    <row r="25" spans="1:29" x14ac:dyDescent="0.25">
      <c r="A25" s="617"/>
      <c r="B25" s="1282" t="str">
        <f>'2016-17  RS 3010-DO &amp; All Sites'!AD24</f>
        <v>1204</v>
      </c>
      <c r="C25" s="1280" t="str">
        <f>'2016-17  RS 3010-DO &amp; All Sites'!AE24</f>
        <v>Counselor</v>
      </c>
      <c r="D25" s="492">
        <v>238506</v>
      </c>
      <c r="E25" s="1266"/>
      <c r="F25" s="492"/>
      <c r="G25" s="1537">
        <f t="shared" si="1"/>
        <v>0.15371521051881296</v>
      </c>
      <c r="H25" s="492">
        <v>275168</v>
      </c>
      <c r="I25" s="1271"/>
      <c r="J25" s="617"/>
      <c r="K25" s="1537">
        <f t="shared" si="2"/>
        <v>1.9998691708338179E-2</v>
      </c>
      <c r="L25" s="492">
        <f>ROUND(H25*(1+M20),0)</f>
        <v>280671</v>
      </c>
      <c r="M25" s="1271" t="str">
        <f>TEXT(M20,"0.0%")&amp;" = Est. S &amp; C"</f>
        <v>2.0% = Est. S &amp; C</v>
      </c>
      <c r="O25" s="1537">
        <f t="shared" si="3"/>
        <v>1.9998503586049148E-2</v>
      </c>
      <c r="P25" s="492">
        <f>ROUND(L25*(1+Q20),0)</f>
        <v>286284</v>
      </c>
      <c r="Q25" s="1271" t="str">
        <f>TEXT(Q20,"0.0%")&amp;" = Est. S &amp; C"</f>
        <v>2.0% = Est. S &amp; C</v>
      </c>
      <c r="S25" s="493">
        <f t="shared" si="4"/>
        <v>2.0001117771164298E-2</v>
      </c>
      <c r="T25" s="492">
        <f>ROUND(P25*(1+U20),0)</f>
        <v>292010</v>
      </c>
      <c r="U25" s="880" t="str">
        <f>TEXT(U20,"0.0%")&amp;" = Est. S &amp; C"</f>
        <v>2.0% = Est. S &amp; C</v>
      </c>
      <c r="W25" s="493">
        <f t="shared" si="5"/>
        <v>1.9999315091948907E-2</v>
      </c>
      <c r="X25" s="492">
        <f>ROUND(T25*(1+Y20),0)</f>
        <v>297850</v>
      </c>
      <c r="Y25" s="880" t="str">
        <f>TEXT(Y20,"0.0%")&amp;" = Est. S &amp; C"</f>
        <v>2.0% = Est. S &amp; C</v>
      </c>
      <c r="AA25" s="493">
        <f t="shared" si="6"/>
        <v>0.02</v>
      </c>
      <c r="AB25" s="492">
        <f>ROUND(X25*(1+AC20),0)</f>
        <v>303807</v>
      </c>
      <c r="AC25" s="880" t="str">
        <f>TEXT(AC20,"0.0%")&amp;" = Est. S &amp; C"</f>
        <v>2.0% = Est. S &amp; C</v>
      </c>
    </row>
    <row r="26" spans="1:29" x14ac:dyDescent="0.25">
      <c r="A26" s="617"/>
      <c r="B26" s="1282" t="str">
        <f>'2016-17  RS 3010-DO &amp; All Sites'!AD25</f>
        <v>1208</v>
      </c>
      <c r="C26" s="1280" t="str">
        <f>'2016-17  RS 3010-DO &amp; All Sites'!AE25</f>
        <v>Parent Instruction</v>
      </c>
      <c r="D26" s="492">
        <v>2320</v>
      </c>
      <c r="E26" s="1266"/>
      <c r="F26" s="492"/>
      <c r="G26" s="1537">
        <f t="shared" si="1"/>
        <v>-6.2068965517241378E-2</v>
      </c>
      <c r="H26" s="492">
        <v>2176</v>
      </c>
      <c r="I26" s="1271"/>
      <c r="J26" s="617"/>
      <c r="K26" s="1537">
        <f t="shared" si="2"/>
        <v>-0.31066176470588236</v>
      </c>
      <c r="L26" s="492">
        <v>1500</v>
      </c>
      <c r="M26" s="1271"/>
      <c r="O26" s="1537">
        <f t="shared" si="3"/>
        <v>0</v>
      </c>
      <c r="P26" s="492">
        <f>ROUND(L26*(1-$P$58),0)</f>
        <v>1500</v>
      </c>
      <c r="Q26" s="1271"/>
      <c r="S26" s="493">
        <f t="shared" si="4"/>
        <v>0.02</v>
      </c>
      <c r="T26" s="492">
        <f>ROUND(P26*(1+U20),0)</f>
        <v>1530</v>
      </c>
      <c r="U26" s="880" t="str">
        <f>TEXT(U20,"0.0%")&amp;" = Est. S &amp; C"</f>
        <v>2.0% = Est. S &amp; C</v>
      </c>
      <c r="W26" s="493">
        <f t="shared" si="5"/>
        <v>2.0261437908496733E-2</v>
      </c>
      <c r="X26" s="492">
        <f>ROUND(T26*(1+Y20),0)</f>
        <v>1561</v>
      </c>
      <c r="Y26" s="880" t="str">
        <f>TEXT(Y20,"0.0%")&amp;" = Est. S &amp; C"</f>
        <v>2.0% = Est. S &amp; C</v>
      </c>
      <c r="AA26" s="493">
        <f t="shared" si="6"/>
        <v>1.9859064702114029E-2</v>
      </c>
      <c r="AB26" s="492">
        <f>ROUND(X26*(1+AC20),0)</f>
        <v>1592</v>
      </c>
      <c r="AC26" s="880" t="str">
        <f>TEXT(AC20,"0.0%")&amp;" = Est. S &amp; C"</f>
        <v>2.0% = Est. S &amp; C</v>
      </c>
    </row>
    <row r="27" spans="1:29" x14ac:dyDescent="0.25">
      <c r="A27" s="617"/>
      <c r="B27" s="1282" t="str">
        <f>'2016-17  RS 3010-DO &amp; All Sites'!AD26</f>
        <v>1305</v>
      </c>
      <c r="C27" s="1280" t="str">
        <f>'2016-17  RS 3010-DO &amp; All Sites'!AE26</f>
        <v>Director</v>
      </c>
      <c r="D27" s="492">
        <v>62155</v>
      </c>
      <c r="E27" s="1266"/>
      <c r="F27" s="492"/>
      <c r="G27" s="1537">
        <f t="shared" si="1"/>
        <v>2.0915453302228299E-4</v>
      </c>
      <c r="H27" s="492">
        <v>62168</v>
      </c>
      <c r="I27" s="1271"/>
      <c r="J27" s="617"/>
      <c r="K27" s="1537">
        <f t="shared" si="2"/>
        <v>1.9994209239480119E-2</v>
      </c>
      <c r="L27" s="492">
        <f>ROUND(H27*(1+M20),0)</f>
        <v>63411</v>
      </c>
      <c r="M27" s="1271" t="str">
        <f>TEXT(M20,"0.0%")&amp;" = Est. S &amp; C"</f>
        <v>2.0% = Est. S &amp; C</v>
      </c>
      <c r="O27" s="1537">
        <f t="shared" si="3"/>
        <v>1.9996530570405766E-2</v>
      </c>
      <c r="P27" s="492">
        <f>ROUND(L27*(1+Q20),0)</f>
        <v>64679</v>
      </c>
      <c r="Q27" s="1271" t="str">
        <f>TEXT(Q20,"0.0%")&amp;" = Est. S &amp; C"</f>
        <v>2.0% = Est. S &amp; C</v>
      </c>
      <c r="S27" s="493">
        <f t="shared" si="4"/>
        <v>2.0006493606889407E-2</v>
      </c>
      <c r="T27" s="492">
        <f>ROUND(P27*(1+U20),0)</f>
        <v>65973</v>
      </c>
      <c r="U27" s="880" t="str">
        <f>TEXT(U20,"0.0%")&amp;" = Est. S &amp; C"</f>
        <v>2.0% = Est. S &amp; C</v>
      </c>
      <c r="W27" s="493">
        <f t="shared" si="5"/>
        <v>1.999302745062374E-2</v>
      </c>
      <c r="X27" s="492">
        <f>ROUND(T27*(1+Y20),0)</f>
        <v>67292</v>
      </c>
      <c r="Y27" s="880" t="str">
        <f>TEXT(Y20,"0.0%")&amp;" = Est. S &amp; C"</f>
        <v>2.0% = Est. S &amp; C</v>
      </c>
      <c r="AA27" s="493">
        <f t="shared" si="6"/>
        <v>2.0002377697200261E-2</v>
      </c>
      <c r="AB27" s="492">
        <f>ROUND(X27*(1+AC20),0)</f>
        <v>68638</v>
      </c>
      <c r="AC27" s="880" t="str">
        <f>TEXT(AC20,"0.0%")&amp;" = Est. S &amp; C"</f>
        <v>2.0% = Est. S &amp; C</v>
      </c>
    </row>
    <row r="28" spans="1:29" x14ac:dyDescent="0.25">
      <c r="A28" s="617"/>
      <c r="B28" s="1282" t="str">
        <f>'2016-17  RS 3010-DO &amp; All Sites'!AD27</f>
        <v>1901</v>
      </c>
      <c r="C28" s="1280" t="str">
        <f>'2016-17  RS 3010-DO &amp; All Sites'!AE27</f>
        <v>Inst. Coaches</v>
      </c>
      <c r="D28" s="909">
        <v>504683</v>
      </c>
      <c r="E28" s="1248" t="s">
        <v>766</v>
      </c>
      <c r="F28" s="492"/>
      <c r="G28" s="1537">
        <f t="shared" si="1"/>
        <v>3.3062338140971662E-2</v>
      </c>
      <c r="H28" s="492">
        <f>499086+22283</f>
        <v>521369</v>
      </c>
      <c r="I28" s="1271"/>
      <c r="J28" s="617"/>
      <c r="K28" s="1537">
        <f t="shared" si="2"/>
        <v>1.9999271149608051E-2</v>
      </c>
      <c r="L28" s="492">
        <f>ROUND(H28*(1+M20),0)</f>
        <v>531796</v>
      </c>
      <c r="M28" s="1271" t="str">
        <f>TEXT(M20,"0.0%")&amp;" = Est. S &amp; C"</f>
        <v>2.0% = Est. S &amp; C</v>
      </c>
      <c r="O28" s="1537">
        <f t="shared" si="3"/>
        <v>2.0000150433624925E-2</v>
      </c>
      <c r="P28" s="492">
        <f>ROUND(L28*(1+Q20),0)</f>
        <v>542432</v>
      </c>
      <c r="Q28" s="1271" t="str">
        <f>TEXT(Q20,"0.0%")&amp;" = Est. S &amp; C"</f>
        <v>2.0% = Est. S &amp; C</v>
      </c>
      <c r="S28" s="493">
        <f t="shared" si="4"/>
        <v>2.0000663677659136E-2</v>
      </c>
      <c r="T28" s="492">
        <f>ROUND(P28*(1+U20),0)</f>
        <v>553281</v>
      </c>
      <c r="U28" s="880" t="str">
        <f>TEXT(U20,"0.0%")&amp;" = Est. S &amp; C"</f>
        <v>2.0% = Est. S &amp; C</v>
      </c>
      <c r="W28" s="493">
        <f t="shared" si="5"/>
        <v>2.0000686811945466E-2</v>
      </c>
      <c r="X28" s="492">
        <f>ROUND(T28*(1+Y20),0)</f>
        <v>564347</v>
      </c>
      <c r="Y28" s="880" t="str">
        <f>TEXT(Y20,"0.0%")&amp;" = Est. S &amp; C"</f>
        <v>2.0% = Est. S &amp; C</v>
      </c>
      <c r="AA28" s="493">
        <f t="shared" si="6"/>
        <v>2.0000106317567028E-2</v>
      </c>
      <c r="AB28" s="492">
        <f>ROUND(X28*(1+AC20),0)</f>
        <v>575634</v>
      </c>
      <c r="AC28" s="880" t="str">
        <f>TEXT(AC20,"0.0%")&amp;" = Est. S &amp; C"</f>
        <v>2.0% = Est. S &amp; C</v>
      </c>
    </row>
    <row r="29" spans="1:29" x14ac:dyDescent="0.25">
      <c r="A29" s="617"/>
      <c r="B29" s="1282"/>
      <c r="E29" s="1266"/>
      <c r="F29" s="492"/>
      <c r="G29" s="1537"/>
      <c r="H29" s="492">
        <f>-'RS 4203'!H23</f>
        <v>0</v>
      </c>
      <c r="I29" s="1271"/>
      <c r="J29" s="617"/>
      <c r="L29" s="492">
        <f>-'RS 4203'!L23</f>
        <v>3595</v>
      </c>
      <c r="M29" s="1300" t="s">
        <v>914</v>
      </c>
      <c r="P29" s="492">
        <f>-'RS 4203'!P23-'RS 4035'!P28</f>
        <v>25379</v>
      </c>
      <c r="Q29" s="1300" t="s">
        <v>915</v>
      </c>
      <c r="T29" s="492"/>
      <c r="U29" s="846"/>
      <c r="X29" s="492"/>
      <c r="Y29" s="846"/>
      <c r="AB29" s="492"/>
      <c r="AC29" s="846"/>
    </row>
    <row r="30" spans="1:29" x14ac:dyDescent="0.25">
      <c r="A30" s="621"/>
      <c r="B30" s="1282"/>
      <c r="D30" s="859">
        <f>SUM(D22:D29)</f>
        <v>1006571</v>
      </c>
      <c r="E30" s="1266"/>
      <c r="F30" s="492"/>
      <c r="G30" s="1537">
        <f t="shared" si="1"/>
        <v>3.3440264025091128E-2</v>
      </c>
      <c r="H30" s="859">
        <f>SUM(H22:H29)</f>
        <v>1040231</v>
      </c>
      <c r="I30" s="1882">
        <f>+H30-D30</f>
        <v>33660</v>
      </c>
      <c r="J30" s="621"/>
      <c r="K30" s="1537">
        <f>IF(H30=0,"0.00%",(L30-H30)/H30)</f>
        <v>1.9314940623765299E-2</v>
      </c>
      <c r="L30" s="859">
        <f>SUM(L22:L29)</f>
        <v>1060323</v>
      </c>
      <c r="M30" s="1882">
        <f>+L30-H30</f>
        <v>20092</v>
      </c>
      <c r="O30" s="1537">
        <f>IF(L30=0,"0.00%",(P30-L30)/L30)</f>
        <v>3.7065120722647719E-2</v>
      </c>
      <c r="P30" s="859">
        <f>SUM(P22:P29)</f>
        <v>1099624</v>
      </c>
      <c r="Q30" s="1882">
        <f>+P30-L30</f>
        <v>39301</v>
      </c>
      <c r="S30" s="493">
        <f>IF(P30=0,"0.00%",(T30-P30)/P30)</f>
        <v>-3.5403010483583477E-3</v>
      </c>
      <c r="T30" s="859">
        <f>SUM(T22:T29)</f>
        <v>1095731</v>
      </c>
      <c r="U30" s="846"/>
      <c r="W30" s="493">
        <f>IF(T30=0,"0.00%",(X30-T30)/T30)</f>
        <v>1.9999434167692617E-2</v>
      </c>
      <c r="X30" s="859">
        <f>SUM(X22:X29)</f>
        <v>1117645</v>
      </c>
      <c r="Y30" s="846"/>
      <c r="AA30" s="493">
        <f>IF(X30=0,"0.00%",(AB30-X30)/X30)</f>
        <v>2.0000089473849032E-2</v>
      </c>
      <c r="AB30" s="859">
        <f>SUM(AB22:AB29)</f>
        <v>1139998</v>
      </c>
      <c r="AC30" s="846"/>
    </row>
    <row r="31" spans="1:29" x14ac:dyDescent="0.25">
      <c r="A31" s="617"/>
      <c r="E31" s="1266"/>
      <c r="F31" s="492"/>
      <c r="H31" s="492"/>
      <c r="I31" s="1268"/>
      <c r="J31" s="617"/>
      <c r="L31" s="492"/>
      <c r="M31" s="1303"/>
      <c r="Q31" s="1303"/>
      <c r="T31" s="492"/>
      <c r="U31" s="846"/>
      <c r="X31" s="492"/>
      <c r="Y31" s="846"/>
      <c r="AB31" s="492"/>
      <c r="AC31" s="846"/>
    </row>
    <row r="32" spans="1:29" s="883" customFormat="1" x14ac:dyDescent="0.25">
      <c r="A32" s="623"/>
      <c r="B32" s="1279" t="str">
        <f>'2016-17  RS 3010-DO &amp; All Sites'!AD32</f>
        <v>Classified</v>
      </c>
      <c r="C32" s="1283"/>
      <c r="D32" s="882"/>
      <c r="E32" s="1267"/>
      <c r="F32" s="882"/>
      <c r="G32" s="1565"/>
      <c r="H32" s="882"/>
      <c r="I32" s="1267"/>
      <c r="J32" s="622"/>
      <c r="K32" s="1582"/>
      <c r="L32" s="882"/>
      <c r="M32" s="1304"/>
      <c r="O32" s="1582"/>
      <c r="P32" s="882"/>
      <c r="Q32" s="1312"/>
      <c r="R32" s="878"/>
      <c r="T32" s="882"/>
      <c r="U32" s="884"/>
      <c r="X32" s="882"/>
      <c r="Y32" s="884"/>
      <c r="AB32" s="882"/>
      <c r="AC32" s="884"/>
    </row>
    <row r="33" spans="1:29" x14ac:dyDescent="0.25">
      <c r="A33" s="617"/>
      <c r="B33" s="1282" t="str">
        <f>'2016-17  RS 3010-DO &amp; All Sites'!AD33</f>
        <v>2101</v>
      </c>
      <c r="C33" s="1280" t="str">
        <f>'2016-17  RS 3010-DO &amp; All Sites'!AE33</f>
        <v>Para Lrning Asstnt</v>
      </c>
      <c r="D33" s="492">
        <v>93523</v>
      </c>
      <c r="E33" s="1266"/>
      <c r="F33" s="492"/>
      <c r="G33" s="1537">
        <f t="shared" ref="G33:G39" si="7">IF(D33=0,"0.00%",(H33-D33)/D33)</f>
        <v>-0.18270371994054938</v>
      </c>
      <c r="H33" s="492">
        <v>76436</v>
      </c>
      <c r="I33" s="1510"/>
      <c r="J33" s="617"/>
      <c r="K33" s="1537">
        <f t="shared" ref="K33:K39" si="8">IF(H33=0,"0.00%",(L33-H33)/H33)</f>
        <v>2.0003663195352975E-2</v>
      </c>
      <c r="L33" s="492">
        <f>ROUND(H33*(1+M20),0)</f>
        <v>77965</v>
      </c>
      <c r="M33" s="1271" t="str">
        <f>TEXT(M20,"0.0%")&amp;" = Est. S &amp; C"</f>
        <v>2.0% = Est. S &amp; C</v>
      </c>
      <c r="O33" s="1537">
        <f t="shared" ref="O33:O39" si="9">IF(L33=0,"0.00%",(P33-L33)/L33)</f>
        <v>1.9996152119540818E-2</v>
      </c>
      <c r="P33" s="492">
        <f>ROUND(L33*(1+Q20),0)</f>
        <v>79524</v>
      </c>
      <c r="Q33" s="1271" t="str">
        <f>TEXT(Q20,"0.0%")&amp;" = Est. S &amp; C"</f>
        <v>2.0% = Est. S &amp; C</v>
      </c>
      <c r="S33" s="493">
        <f t="shared" ref="S33:S39" si="10">IF(P33=0,"0.00%",(T33-P33)/P33)</f>
        <v>1.9993964086313567E-2</v>
      </c>
      <c r="T33" s="492">
        <f>ROUND(P33*(1+U20),0)</f>
        <v>81114</v>
      </c>
      <c r="U33" s="880" t="str">
        <f>TEXT(U20,"0.0%")&amp;" = Est. S &amp; C"</f>
        <v>2.0% = Est. S &amp; C</v>
      </c>
      <c r="W33" s="493">
        <f t="shared" ref="W33:W39" si="11">IF(T33=0,"0.00%",(X33-T33)/T33)</f>
        <v>1.9996548068150998E-2</v>
      </c>
      <c r="X33" s="492">
        <f>ROUND(T33*(1+Y20),0)</f>
        <v>82736</v>
      </c>
      <c r="Y33" s="880" t="str">
        <f>TEXT(Y20,"0.0%")&amp;" = Est. S &amp; C"</f>
        <v>2.0% = Est. S &amp; C</v>
      </c>
      <c r="AA33" s="493">
        <f t="shared" ref="AA33:AA39" si="12">IF(X33=0,"0.00%",(AB33-X33)/X33)</f>
        <v>2.0003384258363954E-2</v>
      </c>
      <c r="AB33" s="492">
        <f>ROUND(X33*(1+AC20),0)</f>
        <v>84391</v>
      </c>
      <c r="AC33" s="880" t="str">
        <f>TEXT(AC20,"0.0%")&amp;" = Est. S &amp; C"</f>
        <v>2.0% = Est. S &amp; C</v>
      </c>
    </row>
    <row r="34" spans="1:29" x14ac:dyDescent="0.25">
      <c r="A34" s="617"/>
      <c r="B34" s="1282">
        <v>2181</v>
      </c>
      <c r="C34" s="1280" t="s">
        <v>823</v>
      </c>
      <c r="D34" s="492">
        <v>0</v>
      </c>
      <c r="E34" s="1266"/>
      <c r="F34" s="492"/>
      <c r="G34" s="1537" t="str">
        <f t="shared" si="7"/>
        <v>0.00%</v>
      </c>
      <c r="H34" s="492">
        <v>1848</v>
      </c>
      <c r="I34" s="1510"/>
      <c r="J34" s="617"/>
      <c r="K34" s="1537">
        <f t="shared" si="8"/>
        <v>0</v>
      </c>
      <c r="L34" s="492">
        <f>+H34</f>
        <v>1848</v>
      </c>
      <c r="M34" s="1271" t="s">
        <v>174</v>
      </c>
      <c r="O34" s="1537">
        <f t="shared" si="9"/>
        <v>0</v>
      </c>
      <c r="P34" s="492">
        <f>+L34</f>
        <v>1848</v>
      </c>
      <c r="Q34" s="1271" t="s">
        <v>174</v>
      </c>
      <c r="S34" s="493">
        <f t="shared" si="10"/>
        <v>2.002164502164502E-2</v>
      </c>
      <c r="T34" s="492">
        <f>ROUND(P34*(1+U20),0)</f>
        <v>1885</v>
      </c>
      <c r="U34" s="880" t="str">
        <f>TEXT(U20,"0.0%")&amp;" = Est. S &amp; C"</f>
        <v>2.0% = Est. S &amp; C</v>
      </c>
      <c r="W34" s="493">
        <f t="shared" si="11"/>
        <v>2.0159151193633953E-2</v>
      </c>
      <c r="X34" s="492">
        <f>ROUND(T34*(1+Y20),0)</f>
        <v>1923</v>
      </c>
      <c r="Y34" s="880" t="str">
        <f>TEXT(Y20,"0.0%")&amp;" = Est. S &amp; C"</f>
        <v>2.0% = Est. S &amp; C</v>
      </c>
      <c r="AA34" s="493">
        <f t="shared" si="12"/>
        <v>1.9760790431617263E-2</v>
      </c>
      <c r="AB34" s="492">
        <f>ROUND(X34*(1+AC20),0)</f>
        <v>1961</v>
      </c>
      <c r="AC34" s="880" t="str">
        <f>TEXT(AC20,"0.0%")&amp;" = Est. S &amp; C"</f>
        <v>2.0% = Est. S &amp; C</v>
      </c>
    </row>
    <row r="35" spans="1:29" x14ac:dyDescent="0.25">
      <c r="A35" s="617"/>
      <c r="B35" s="1282" t="str">
        <f>'2016-17  RS 3010-DO &amp; All Sites'!AD35</f>
        <v>2404</v>
      </c>
      <c r="C35" s="1280" t="str">
        <f>'2016-17  RS 3010-DO &amp; All Sites'!AE35</f>
        <v>Secretary</v>
      </c>
      <c r="D35" s="492">
        <v>18222</v>
      </c>
      <c r="E35" s="1266"/>
      <c r="F35" s="492"/>
      <c r="G35" s="1537">
        <f t="shared" si="7"/>
        <v>7.7598507298869496E-2</v>
      </c>
      <c r="H35" s="492">
        <v>19636</v>
      </c>
      <c r="I35" s="1510"/>
      <c r="J35" s="617"/>
      <c r="K35" s="1537">
        <f t="shared" si="8"/>
        <v>2.0014259523324505E-2</v>
      </c>
      <c r="L35" s="492">
        <f>ROUND(H35*(1+M20),0)</f>
        <v>20029</v>
      </c>
      <c r="M35" s="1271" t="str">
        <f>TEXT(M20,"0.0%")&amp;" = Est. S &amp; C"</f>
        <v>2.0% = Est. S &amp; C</v>
      </c>
      <c r="O35" s="1537">
        <f t="shared" si="9"/>
        <v>2.0020969594088573E-2</v>
      </c>
      <c r="P35" s="492">
        <f>ROUND(L35*(1+Q20),0)</f>
        <v>20430</v>
      </c>
      <c r="Q35" s="1271" t="str">
        <f>TEXT(Q20,"0.0%")&amp;" = Est. S &amp; C"</f>
        <v>2.0% = Est. S &amp; C</v>
      </c>
      <c r="S35" s="493">
        <f t="shared" si="10"/>
        <v>2.0019579050416056E-2</v>
      </c>
      <c r="T35" s="492">
        <f>ROUND(P35*(1+U20),0)</f>
        <v>20839</v>
      </c>
      <c r="U35" s="880" t="str">
        <f>TEXT(U20,"0.0%")&amp;" = Est. S &amp; C"</f>
        <v>2.0% = Est. S &amp; C</v>
      </c>
      <c r="W35" s="493">
        <f t="shared" si="11"/>
        <v>2.0010557128461059E-2</v>
      </c>
      <c r="X35" s="492">
        <f>ROUND(T35*(1+Y20),0)</f>
        <v>21256</v>
      </c>
      <c r="Y35" s="880" t="str">
        <f>TEXT(Y20,"0.0%")&amp;" = Est. S &amp; C"</f>
        <v>2.0% = Est. S &amp; C</v>
      </c>
      <c r="AA35" s="493">
        <f t="shared" si="12"/>
        <v>1.9994354535190065E-2</v>
      </c>
      <c r="AB35" s="492">
        <f>ROUND(X35*(1+AC20),0)</f>
        <v>21681</v>
      </c>
      <c r="AC35" s="880" t="str">
        <f>TEXT(AC20,"0.0%")&amp;" = Est. S &amp; C"</f>
        <v>2.0% = Est. S &amp; C</v>
      </c>
    </row>
    <row r="36" spans="1:29" x14ac:dyDescent="0.25">
      <c r="A36" s="617"/>
      <c r="B36" s="1282" t="str">
        <f>'2016-17  RS 3010-DO &amp; All Sites'!AD36</f>
        <v>2481</v>
      </c>
      <c r="C36" s="1280" t="str">
        <f>'2016-17  RS 3010-DO &amp; All Sites'!AE36</f>
        <v>Sub. Office</v>
      </c>
      <c r="D36" s="492">
        <v>1555</v>
      </c>
      <c r="E36" s="1266"/>
      <c r="F36" s="492"/>
      <c r="G36" s="1537">
        <f t="shared" si="7"/>
        <v>-1</v>
      </c>
      <c r="H36" s="492">
        <v>0</v>
      </c>
      <c r="I36" s="1510"/>
      <c r="J36" s="617"/>
      <c r="K36" s="1537" t="str">
        <f t="shared" si="8"/>
        <v>0.00%</v>
      </c>
      <c r="L36" s="492">
        <f t="shared" ref="L36" si="13">ROUND(H36*(1-$L$58),0)</f>
        <v>0</v>
      </c>
      <c r="M36" s="1271"/>
      <c r="O36" s="1537" t="str">
        <f t="shared" si="9"/>
        <v>0.00%</v>
      </c>
      <c r="P36" s="492">
        <f t="shared" ref="P36:P39" si="14">ROUND(L36*(1-$P$58),0)</f>
        <v>0</v>
      </c>
      <c r="Q36" s="1271"/>
      <c r="S36" s="493" t="str">
        <f t="shared" si="10"/>
        <v>0.00%</v>
      </c>
      <c r="T36" s="492">
        <f>ROUND(P36*(1+U20),0)</f>
        <v>0</v>
      </c>
      <c r="U36" s="880" t="str">
        <f>TEXT(U20,"0.0%")&amp;" = Est. S &amp; C"</f>
        <v>2.0% = Est. S &amp; C</v>
      </c>
      <c r="W36" s="493" t="str">
        <f t="shared" si="11"/>
        <v>0.00%</v>
      </c>
      <c r="X36" s="492">
        <f>ROUND(T36*(1+Y20),0)</f>
        <v>0</v>
      </c>
      <c r="Y36" s="880" t="str">
        <f>TEXT(Y20,"0.0%")&amp;" = Est. S &amp; C"</f>
        <v>2.0% = Est. S &amp; C</v>
      </c>
      <c r="AA36" s="493" t="str">
        <f t="shared" si="12"/>
        <v>0.00%</v>
      </c>
      <c r="AB36" s="492">
        <f>ROUND(X36*(1+AC20),0)</f>
        <v>0</v>
      </c>
      <c r="AC36" s="880" t="str">
        <f>TEXT(AC20,"0.0%")&amp;" = Est. S &amp; C"</f>
        <v>2.0% = Est. S &amp; C</v>
      </c>
    </row>
    <row r="37" spans="1:29" x14ac:dyDescent="0.25">
      <c r="A37" s="617"/>
      <c r="B37" s="1282" t="str">
        <f>'2016-17  RS 3010-DO &amp; All Sites'!AD37</f>
        <v>2901</v>
      </c>
      <c r="C37" s="1280" t="str">
        <f>'2016-17  RS 3010-DO &amp; All Sites'!AE37</f>
        <v>Babysitter</v>
      </c>
      <c r="D37" s="492">
        <v>944</v>
      </c>
      <c r="E37" s="1266"/>
      <c r="F37" s="492"/>
      <c r="G37" s="1537">
        <f t="shared" si="7"/>
        <v>0.22033898305084745</v>
      </c>
      <c r="H37" s="492">
        <v>1152</v>
      </c>
      <c r="I37" s="1510"/>
      <c r="J37" s="617"/>
      <c r="K37" s="1537">
        <f t="shared" si="8"/>
        <v>-0.56597222222222221</v>
      </c>
      <c r="L37" s="492">
        <v>500</v>
      </c>
      <c r="M37" s="1271"/>
      <c r="O37" s="1537">
        <f t="shared" si="9"/>
        <v>0</v>
      </c>
      <c r="P37" s="492">
        <f t="shared" si="14"/>
        <v>500</v>
      </c>
      <c r="Q37" s="1271" t="s">
        <v>174</v>
      </c>
      <c r="S37" s="493">
        <f t="shared" si="10"/>
        <v>0.02</v>
      </c>
      <c r="T37" s="492">
        <f>ROUND(P37*(1+U20),0)</f>
        <v>510</v>
      </c>
      <c r="U37" s="880" t="str">
        <f>TEXT(U20,"0.0%")&amp;" = Est. S &amp; C"</f>
        <v>2.0% = Est. S &amp; C</v>
      </c>
      <c r="W37" s="493">
        <f t="shared" si="11"/>
        <v>1.9607843137254902E-2</v>
      </c>
      <c r="X37" s="492">
        <f>ROUND(T37*(1+Y20),0)</f>
        <v>520</v>
      </c>
      <c r="Y37" s="880" t="str">
        <f>TEXT(Y20,"0.0%")&amp;" = Est. S &amp; C"</f>
        <v>2.0% = Est. S &amp; C</v>
      </c>
      <c r="AA37" s="493">
        <f t="shared" si="12"/>
        <v>1.9230769230769232E-2</v>
      </c>
      <c r="AB37" s="492">
        <f>ROUND(X37*(1+AC20),0)</f>
        <v>530</v>
      </c>
      <c r="AC37" s="880" t="str">
        <f>TEXT(AC20,"0.0%")&amp;" = Est. S &amp; C"</f>
        <v>2.0% = Est. S &amp; C</v>
      </c>
    </row>
    <row r="38" spans="1:29" x14ac:dyDescent="0.25">
      <c r="A38" s="617"/>
      <c r="B38" s="1282" t="str">
        <f>'2016-17  RS 3010-DO &amp; All Sites'!AD38</f>
        <v>2910</v>
      </c>
      <c r="C38" s="1280" t="str">
        <f>'2016-17  RS 3010-DO &amp; All Sites'!AE38</f>
        <v>Interpreters</v>
      </c>
      <c r="D38" s="492">
        <v>9264</v>
      </c>
      <c r="E38" s="1266"/>
      <c r="F38" s="492"/>
      <c r="G38" s="1537">
        <f t="shared" si="7"/>
        <v>0.21157167530224524</v>
      </c>
      <c r="H38" s="492">
        <v>11224</v>
      </c>
      <c r="I38" s="1510"/>
      <c r="J38" s="617"/>
      <c r="K38" s="1537">
        <f t="shared" si="8"/>
        <v>-0.55452601568068427</v>
      </c>
      <c r="L38" s="492">
        <v>5000</v>
      </c>
      <c r="M38" s="1271"/>
      <c r="O38" s="1537">
        <f t="shared" si="9"/>
        <v>0</v>
      </c>
      <c r="P38" s="492">
        <f t="shared" si="14"/>
        <v>5000</v>
      </c>
      <c r="Q38" s="1271" t="s">
        <v>174</v>
      </c>
      <c r="S38" s="493">
        <f t="shared" si="10"/>
        <v>0.02</v>
      </c>
      <c r="T38" s="492">
        <f>ROUND(P38*(1+U20),0)</f>
        <v>5100</v>
      </c>
      <c r="U38" s="880" t="str">
        <f>TEXT(U20,"0.0%")&amp;" = Est. S &amp; C"</f>
        <v>2.0% = Est. S &amp; C</v>
      </c>
      <c r="W38" s="493">
        <f t="shared" si="11"/>
        <v>0.02</v>
      </c>
      <c r="X38" s="492">
        <f>ROUND(T38*(1+Y20),0)</f>
        <v>5202</v>
      </c>
      <c r="Y38" s="880" t="str">
        <f>TEXT(Y20,"0.0%")&amp;" = Est. S &amp; C"</f>
        <v>2.0% = Est. S &amp; C</v>
      </c>
      <c r="AA38" s="493">
        <f t="shared" si="12"/>
        <v>1.9992310649750097E-2</v>
      </c>
      <c r="AB38" s="492">
        <f>ROUND(X38*(1+AC20),0)</f>
        <v>5306</v>
      </c>
      <c r="AC38" s="880" t="str">
        <f>TEXT(AC20,"0.0%")&amp;" = Est. S &amp; C"</f>
        <v>2.0% = Est. S &amp; C</v>
      </c>
    </row>
    <row r="39" spans="1:29" x14ac:dyDescent="0.25">
      <c r="A39" s="617"/>
      <c r="B39" s="1282" t="str">
        <f>'2016-17  RS 3010-DO &amp; All Sites'!AD39</f>
        <v>2924</v>
      </c>
      <c r="C39" s="1280" t="str">
        <f>'2016-17  RS 3010-DO &amp; All Sites'!AE39</f>
        <v>Parent Ed. Aide</v>
      </c>
      <c r="D39" s="492">
        <v>0</v>
      </c>
      <c r="E39" s="1266"/>
      <c r="F39" s="492"/>
      <c r="G39" s="1537" t="str">
        <f t="shared" si="7"/>
        <v>0.00%</v>
      </c>
      <c r="H39" s="492">
        <v>449</v>
      </c>
      <c r="I39" s="1510"/>
      <c r="J39" s="617"/>
      <c r="K39" s="1537">
        <f t="shared" si="8"/>
        <v>-0.55456570155902007</v>
      </c>
      <c r="L39" s="492">
        <v>200</v>
      </c>
      <c r="M39" s="1271"/>
      <c r="O39" s="1537">
        <f t="shared" si="9"/>
        <v>0</v>
      </c>
      <c r="P39" s="492">
        <f t="shared" si="14"/>
        <v>200</v>
      </c>
      <c r="Q39" s="1271" t="s">
        <v>174</v>
      </c>
      <c r="S39" s="493">
        <f t="shared" si="10"/>
        <v>0.02</v>
      </c>
      <c r="T39" s="492">
        <f>ROUND(P39*(1+U20),0)</f>
        <v>204</v>
      </c>
      <c r="U39" s="880" t="str">
        <f>TEXT(U20,"0.0%")&amp;" = Est. S &amp; C"</f>
        <v>2.0% = Est. S &amp; C</v>
      </c>
      <c r="W39" s="493">
        <f t="shared" si="11"/>
        <v>1.9607843137254902E-2</v>
      </c>
      <c r="X39" s="492">
        <f>ROUND(T39*(1+Y20),0)</f>
        <v>208</v>
      </c>
      <c r="Y39" s="880" t="str">
        <f>TEXT(Y20,"0.0%")&amp;" = Est. S &amp; C"</f>
        <v>2.0% = Est. S &amp; C</v>
      </c>
      <c r="AA39" s="493">
        <f t="shared" si="12"/>
        <v>1.9230769230769232E-2</v>
      </c>
      <c r="AB39" s="492">
        <f>ROUND(X39*(1+AC20),0)</f>
        <v>212</v>
      </c>
      <c r="AC39" s="880" t="str">
        <f>TEXT(AC20,"0.0%")&amp;" = Est. S &amp; C"</f>
        <v>2.0% = Est. S &amp; C</v>
      </c>
    </row>
    <row r="40" spans="1:29" x14ac:dyDescent="0.25">
      <c r="A40" s="617"/>
      <c r="B40" s="1282"/>
      <c r="E40" s="1266"/>
      <c r="F40" s="492"/>
      <c r="H40" s="492"/>
      <c r="I40" s="1271"/>
      <c r="J40" s="617"/>
      <c r="L40" s="492"/>
      <c r="M40" s="1300"/>
      <c r="Q40" s="1310"/>
      <c r="T40" s="492"/>
      <c r="U40" s="846"/>
      <c r="X40" s="492"/>
      <c r="Y40" s="846"/>
      <c r="AB40" s="492"/>
      <c r="AC40" s="846"/>
    </row>
    <row r="41" spans="1:29" x14ac:dyDescent="0.25">
      <c r="A41" s="621"/>
      <c r="B41" s="1282"/>
      <c r="D41" s="859">
        <f>SUM(D33:D40)</f>
        <v>123508</v>
      </c>
      <c r="E41" s="1266"/>
      <c r="F41" s="492"/>
      <c r="G41" s="1537">
        <f>IF(D41=0,"0.00%",(H41-D41)/D41)</f>
        <v>-0.10333743563169998</v>
      </c>
      <c r="H41" s="859">
        <f>SUM(H33:H40)</f>
        <v>110745</v>
      </c>
      <c r="I41" s="1882">
        <f>+H41-D41</f>
        <v>-12763</v>
      </c>
      <c r="J41" s="621"/>
      <c r="K41" s="1537">
        <f>IF(H41=0,"0.00%",(L41-H41)/H41)</f>
        <v>-4.6981805047631948E-2</v>
      </c>
      <c r="L41" s="859">
        <f>SUM(L33:L40)</f>
        <v>105542</v>
      </c>
      <c r="M41" s="1882">
        <f>+L41-H41</f>
        <v>-5203</v>
      </c>
      <c r="O41" s="1537">
        <f>IF(L41=0,"0.00%",(P41-L41)/L41)</f>
        <v>1.857080593507798E-2</v>
      </c>
      <c r="P41" s="859">
        <f>SUM(P33:P40)</f>
        <v>107502</v>
      </c>
      <c r="Q41" s="1882">
        <f>+P41-L41</f>
        <v>1960</v>
      </c>
      <c r="S41" s="493">
        <f>IF(P41=0,"0.00%",(T41-P41)/P41)</f>
        <v>1.9999627913899275E-2</v>
      </c>
      <c r="T41" s="859">
        <f>SUM(T33:T40)</f>
        <v>109652</v>
      </c>
      <c r="U41" s="846"/>
      <c r="W41" s="493">
        <f>IF(T41=0,"0.00%",(X41-T41)/T41)</f>
        <v>1.9999635209572101E-2</v>
      </c>
      <c r="X41" s="859">
        <f>SUM(X33:X40)</f>
        <v>111845</v>
      </c>
      <c r="Y41" s="846"/>
      <c r="AA41" s="493">
        <f>IF(X41=0,"0.00%",(AB41-X41)/X41)</f>
        <v>1.9991953149447898E-2</v>
      </c>
      <c r="AB41" s="859">
        <f>SUM(AB33:AB40)</f>
        <v>114081</v>
      </c>
      <c r="AC41" s="846"/>
    </row>
    <row r="42" spans="1:29" x14ac:dyDescent="0.25">
      <c r="A42" s="617"/>
      <c r="B42" s="1273" t="s">
        <v>28</v>
      </c>
      <c r="E42" s="1266"/>
      <c r="F42" s="492"/>
      <c r="H42" s="492"/>
      <c r="I42" s="1271"/>
      <c r="J42" s="617"/>
      <c r="L42" s="492"/>
      <c r="M42" s="1300"/>
      <c r="Q42" s="1310"/>
      <c r="T42" s="492"/>
      <c r="U42" s="846"/>
      <c r="X42" s="492"/>
      <c r="Y42" s="846"/>
      <c r="AB42" s="492"/>
      <c r="AC42" s="846"/>
    </row>
    <row r="43" spans="1:29" x14ac:dyDescent="0.25">
      <c r="A43" s="622"/>
      <c r="B43" s="1279" t="str">
        <f>'2016-17  RS 3010-DO &amp; All Sites'!AD43</f>
        <v>Benefits</v>
      </c>
      <c r="E43" s="1266"/>
      <c r="F43" s="492"/>
      <c r="H43" s="492"/>
      <c r="I43" s="1271"/>
      <c r="J43" s="617"/>
      <c r="L43" s="492"/>
      <c r="M43" s="1300"/>
      <c r="Q43" s="1310"/>
      <c r="T43" s="492"/>
      <c r="U43" s="846"/>
      <c r="X43" s="492"/>
      <c r="Y43" s="846"/>
      <c r="AB43" s="492"/>
      <c r="AC43" s="846"/>
    </row>
    <row r="44" spans="1:29" x14ac:dyDescent="0.25">
      <c r="A44" s="617"/>
      <c r="B44" s="1282" t="str">
        <f>'2016-17  RS 3010-DO &amp; All Sites'!AD44</f>
        <v>310X</v>
      </c>
      <c r="C44" s="1280" t="str">
        <f>'2016-17  RS 3010-DO &amp; All Sites'!AE44</f>
        <v>STRS</v>
      </c>
      <c r="D44" s="492">
        <f>135741+23</f>
        <v>135764</v>
      </c>
      <c r="E44" s="1268" t="str">
        <f>TEXT('MYP Assumptions'!$D$52,"0.00%")&amp;", STRS rate"</f>
        <v>12.58%, STRS rate</v>
      </c>
      <c r="F44" s="492"/>
      <c r="G44" s="1537">
        <f t="shared" ref="G44:G53" si="15">IF(D44=0,"0.00%",(H44-D44)/D44)</f>
        <v>0.10562446598509177</v>
      </c>
      <c r="H44" s="492">
        <f>146888+3216</f>
        <v>150104</v>
      </c>
      <c r="I44" s="1268" t="str">
        <f>TEXT('MYP Assumptions'!E52,"0.00%")&amp;", STRS rate"</f>
        <v>14.43%, STRS rate</v>
      </c>
      <c r="J44" s="617"/>
      <c r="K44" s="1537">
        <f t="shared" ref="K44:K53" si="16">IF(H44=0,"0.00%",(L44-H44)/H44)</f>
        <v>0.15000932686670576</v>
      </c>
      <c r="L44" s="492">
        <f>ROUND(L30*LEFT(M44,6),0)</f>
        <v>172621</v>
      </c>
      <c r="M44" s="1271" t="str">
        <f>TEXT('MYP Assumptions'!F52,"0.00%")&amp;", projected STRS rate"</f>
        <v>16.28%, projected STRS rate</v>
      </c>
      <c r="O44" s="1537">
        <f t="shared" ref="O44:O53" si="17">IF(L44=0,"0.00%",(P44-L44)/L44)</f>
        <v>0.15491162720642332</v>
      </c>
      <c r="P44" s="492">
        <f>ROUND(P30*LEFT(Q44,6),0)</f>
        <v>199362</v>
      </c>
      <c r="Q44" s="1268" t="str">
        <f>TEXT('MYP Assumptions'!G52,"0.00%")&amp;", projected STRS rate"</f>
        <v>18.13%, projected STRS rate</v>
      </c>
      <c r="S44" s="493">
        <f t="shared" ref="S44:S53" si="18">IF(P44=0,"0.00%",(T44-P44)/P44)</f>
        <v>4.9773778352945899E-2</v>
      </c>
      <c r="T44" s="492">
        <f>ROUND(T30*LEFT(U44,6),0)</f>
        <v>209285</v>
      </c>
      <c r="U44" s="881" t="str">
        <f>TEXT('MYP Assumptions'!H52,"0.00%")&amp;", projected STRS rate"</f>
        <v>19.10%, projected STRS rate</v>
      </c>
      <c r="W44" s="493">
        <f t="shared" ref="W44:W53" si="19">IF(T44=0,"0.00%",(X44-T44)/T44)</f>
        <v>1.9996655278686958E-2</v>
      </c>
      <c r="X44" s="492">
        <f>ROUND(X30*LEFT(Y44,6),0)</f>
        <v>213470</v>
      </c>
      <c r="Y44" s="881" t="str">
        <f>TEXT('MYP Assumptions'!I52,"0.00%")&amp;", projected STRS rate"</f>
        <v>19.10%, projected STRS rate</v>
      </c>
      <c r="AA44" s="493">
        <f t="shared" ref="AA44:AA53" si="20">IF(X44=0,"0.00%",(AB44-X44)/X44)</f>
        <v>2.00028106993957E-2</v>
      </c>
      <c r="AB44" s="492">
        <f>ROUND(AB30*LEFT(AC44,6),0)</f>
        <v>217740</v>
      </c>
      <c r="AC44" s="881" t="str">
        <f>TEXT('MYP Assumptions'!J52,"0.00%")&amp;", projected STRS rate"</f>
        <v>19.10%, projected STRS rate</v>
      </c>
    </row>
    <row r="45" spans="1:29" x14ac:dyDescent="0.25">
      <c r="A45" s="617"/>
      <c r="B45" s="1282" t="str">
        <f>'2016-17  RS 3010-DO &amp; All Sites'!AD45</f>
        <v>320X</v>
      </c>
      <c r="C45" s="1280" t="str">
        <f>'2016-17  RS 3010-DO &amp; All Sites'!AE45</f>
        <v>PERS</v>
      </c>
      <c r="D45" s="492">
        <v>18196</v>
      </c>
      <c r="E45" s="1268" t="str">
        <f>TEXT('MYP Assumptions'!$D$53,"0.00%")&amp;", PERS rate"</f>
        <v>13.89%, PERS rate</v>
      </c>
      <c r="F45" s="492"/>
      <c r="G45" s="1537">
        <f t="shared" si="15"/>
        <v>-5.462739063530446E-2</v>
      </c>
      <c r="H45" s="492">
        <v>17202</v>
      </c>
      <c r="I45" s="1268" t="str">
        <f>TEXT('MYP Assumptions'!E53,"0.00%")&amp;", PERS rate"</f>
        <v>15.53%, PERS rate</v>
      </c>
      <c r="J45" s="617"/>
      <c r="K45" s="1537">
        <f t="shared" si="16"/>
        <v>0.11051040576677131</v>
      </c>
      <c r="L45" s="492">
        <f>ROUND(L41*LEFT(M45,6),0)</f>
        <v>19103</v>
      </c>
      <c r="M45" s="1271" t="str">
        <f>TEXT('MYP Assumptions'!F53,"0.00%")&amp;", projected PERS rate"</f>
        <v>18.10%, projected PERS rate</v>
      </c>
      <c r="O45" s="1537">
        <f t="shared" si="17"/>
        <v>0.17049678061037532</v>
      </c>
      <c r="P45" s="492">
        <f>ROUND(P41*LEFT(Q45,6),0)</f>
        <v>22360</v>
      </c>
      <c r="Q45" s="1268" t="str">
        <f>TEXT('MYP Assumptions'!G53,"0.00%")&amp;", projected PERS rate"</f>
        <v>20.80%, projected PERS rate</v>
      </c>
      <c r="S45" s="493">
        <f t="shared" si="18"/>
        <v>0.16712880143112702</v>
      </c>
      <c r="T45" s="492">
        <f>ROUND(T41*LEFT(U45,6),0)</f>
        <v>26097</v>
      </c>
      <c r="U45" s="881" t="str">
        <f>TEXT('MYP Assumptions'!H53,"0.00%")&amp;", projected PERS rate"</f>
        <v>23.80%, projected PERS rate</v>
      </c>
      <c r="W45" s="493">
        <f t="shared" si="19"/>
        <v>8.0009196459363149E-2</v>
      </c>
      <c r="X45" s="492">
        <f>ROUND(X41*LEFT(Y45,6),0)</f>
        <v>28185</v>
      </c>
      <c r="Y45" s="881" t="str">
        <f>TEXT('MYP Assumptions'!I53,"0.00%")&amp;", projected PERS rate"</f>
        <v>25.20%, projected PERS rate</v>
      </c>
      <c r="AA45" s="493">
        <f t="shared" si="20"/>
        <v>5.6412985630654604E-2</v>
      </c>
      <c r="AB45" s="492">
        <f>ROUND(AB41*LEFT(AC45,6),0)</f>
        <v>29775</v>
      </c>
      <c r="AC45" s="881" t="str">
        <f>TEXT('MYP Assumptions'!J53,"0.00%")&amp;", projected PERS rate"</f>
        <v>26.10%, projected PERS rate</v>
      </c>
    </row>
    <row r="46" spans="1:29" x14ac:dyDescent="0.25">
      <c r="A46" s="617"/>
      <c r="B46" s="1282" t="str">
        <f>'2016-17  RS 3010-DO &amp; All Sites'!AD46</f>
        <v>330X</v>
      </c>
      <c r="C46" s="1280" t="str">
        <f>'2016-17  RS 3010-DO &amp; All Sites'!AE46</f>
        <v>SS</v>
      </c>
      <c r="D46" s="492">
        <f>586+8007</f>
        <v>8593</v>
      </c>
      <c r="E46" s="1268" t="str">
        <f>TEXT('MYP Assumptions'!$D$54,"0.00%")&amp;", SS rate"</f>
        <v>6.20%, SS rate</v>
      </c>
      <c r="F46" s="492"/>
      <c r="G46" s="1537">
        <f t="shared" si="15"/>
        <v>-0.20086116606540208</v>
      </c>
      <c r="H46" s="492">
        <v>6867</v>
      </c>
      <c r="I46" s="1268" t="str">
        <f>TEXT('MYP Assumptions'!E54,"0.00%")&amp;", no rate change"</f>
        <v>6.20%, no rate change</v>
      </c>
      <c r="J46" s="617"/>
      <c r="K46" s="1537">
        <f t="shared" si="16"/>
        <v>-4.7036551623707588E-2</v>
      </c>
      <c r="L46" s="492">
        <f>ROUND(L41*LEFT(M46,5),0)</f>
        <v>6544</v>
      </c>
      <c r="M46" s="1271" t="str">
        <f>TEXT('MYP Assumptions'!F54,"0.00%")&amp;", no rate change"</f>
        <v>6.20%, no rate change</v>
      </c>
      <c r="O46" s="1537">
        <f t="shared" si="17"/>
        <v>1.8490220048899754E-2</v>
      </c>
      <c r="P46" s="492">
        <f>ROUND(P41*LEFT(Q46,5),0)</f>
        <v>6665</v>
      </c>
      <c r="Q46" s="1268" t="str">
        <f>TEXT('MYP Assumptions'!G54,"0.00%")&amp;", no rate change"</f>
        <v>6.20%, no rate change</v>
      </c>
      <c r="S46" s="493">
        <f t="shared" si="18"/>
        <v>1.9954988747186795E-2</v>
      </c>
      <c r="T46" s="492">
        <f>ROUND(T41*LEFT(U46,5),0)</f>
        <v>6798</v>
      </c>
      <c r="U46" s="881" t="str">
        <f>TEXT('MYP Assumptions'!H54,"0.00%")&amp;", no rate change"</f>
        <v>6.20%, no rate change</v>
      </c>
      <c r="W46" s="493">
        <f t="shared" si="19"/>
        <v>2.0005884083553985E-2</v>
      </c>
      <c r="X46" s="492">
        <f>ROUND(X41*LEFT(Y46,5),0)</f>
        <v>6934</v>
      </c>
      <c r="Y46" s="881" t="str">
        <f>TEXT('MYP Assumptions'!I54,"0.00%")&amp;", no rate change"</f>
        <v>6.20%, no rate change</v>
      </c>
      <c r="AA46" s="493">
        <f t="shared" si="20"/>
        <v>2.00461494087107E-2</v>
      </c>
      <c r="AB46" s="492">
        <f>ROUND(AB41*LEFT(AC46,5),0)</f>
        <v>7073</v>
      </c>
      <c r="AC46" s="881" t="str">
        <f>TEXT('MYP Assumptions'!J54,"0.00%")&amp;", no rate change"</f>
        <v>6.20%, no rate change</v>
      </c>
    </row>
    <row r="47" spans="1:29" x14ac:dyDescent="0.25">
      <c r="A47" s="617"/>
      <c r="B47" s="1282" t="str">
        <f>'2016-17  RS 3010-DO &amp; All Sites'!AD47</f>
        <v>331X</v>
      </c>
      <c r="C47" s="1280" t="str">
        <f>'2016-17  RS 3010-DO &amp; All Sites'!AE47</f>
        <v>Medicare</v>
      </c>
      <c r="D47" s="492">
        <f>16364+1902</f>
        <v>18266</v>
      </c>
      <c r="E47" s="1268" t="str">
        <f>TEXT('MYP Assumptions'!$D$55,"0.00%")&amp;", Medicare rate"</f>
        <v>1.45%, Medicare rate</v>
      </c>
      <c r="F47" s="492"/>
      <c r="G47" s="1537">
        <f t="shared" si="15"/>
        <v>-8.1517573634074234E-2</v>
      </c>
      <c r="H47" s="492">
        <f>14841+1606+330</f>
        <v>16777</v>
      </c>
      <c r="I47" s="1268" t="str">
        <f>TEXT('MYP Assumptions'!E55,"0.00%")&amp;", no rate change"</f>
        <v>1.45%, no rate change</v>
      </c>
      <c r="J47" s="617"/>
      <c r="K47" s="1537">
        <f t="shared" si="16"/>
        <v>7.6294927579424214E-3</v>
      </c>
      <c r="L47" s="492">
        <f>ROUND((L41+L30)*LEFT(M47,5),0)</f>
        <v>16905</v>
      </c>
      <c r="M47" s="1271" t="str">
        <f>TEXT('MYP Assumptions'!F55,"0.00%")&amp;", no rate change"</f>
        <v>1.45%, no rate change</v>
      </c>
      <c r="O47" s="1537">
        <f t="shared" si="17"/>
        <v>3.5374149659863949E-2</v>
      </c>
      <c r="P47" s="492">
        <f>ROUND((P41+P30)*LEFT(Q47,5),0)</f>
        <v>17503</v>
      </c>
      <c r="Q47" s="1268" t="str">
        <f>TEXT('MYP Assumptions'!G55,"0.00%")&amp;", no rate change"</f>
        <v>1.45%, no rate change</v>
      </c>
      <c r="S47" s="493">
        <f t="shared" si="18"/>
        <v>-1.4283265725875565E-3</v>
      </c>
      <c r="T47" s="492">
        <f>ROUND((T41+T30)*LEFT(U47,5),0)</f>
        <v>17478</v>
      </c>
      <c r="U47" s="881" t="str">
        <f>TEXT('MYP Assumptions'!H55,"0.00%")&amp;", no rate change"</f>
        <v>1.45%, no rate change</v>
      </c>
      <c r="W47" s="493">
        <f t="shared" si="19"/>
        <v>2.0025174505092117E-2</v>
      </c>
      <c r="X47" s="492">
        <f>ROUND((X41+X30)*LEFT(Y47,5),0)</f>
        <v>17828</v>
      </c>
      <c r="Y47" s="881" t="str">
        <f>TEXT('MYP Assumptions'!I55,"0.00%")&amp;", no rate change"</f>
        <v>1.45%, no rate change</v>
      </c>
      <c r="AA47" s="493">
        <f t="shared" si="20"/>
        <v>1.9968588736818487E-2</v>
      </c>
      <c r="AB47" s="492">
        <f>ROUND((AB41+AB30)*LEFT(AC47,5),0)</f>
        <v>18184</v>
      </c>
      <c r="AC47" s="881" t="str">
        <f>TEXT('MYP Assumptions'!J55,"0.00%")&amp;", no rate change"</f>
        <v>1.45%, no rate change</v>
      </c>
    </row>
    <row r="48" spans="1:29" x14ac:dyDescent="0.25">
      <c r="A48" s="617"/>
      <c r="B48" s="1282" t="str">
        <f>'2016-17  RS 3010-DO &amp; All Sites'!AD48</f>
        <v>340X</v>
      </c>
      <c r="C48" s="1280" t="str">
        <f>'2016-17  RS 3010-DO &amp; All Sites'!AE48</f>
        <v>H&amp;W</v>
      </c>
      <c r="D48" s="492">
        <f>90598+12340</f>
        <v>102938</v>
      </c>
      <c r="E48" s="1268"/>
      <c r="F48" s="492"/>
      <c r="G48" s="1537">
        <f t="shared" si="15"/>
        <v>5.6266879092269136E-2</v>
      </c>
      <c r="H48" s="492">
        <f>96017+12713</f>
        <v>108730</v>
      </c>
      <c r="I48" s="1268" t="str">
        <f>TEXT('MYP Assumptions'!$M$62,"0.00%")&amp;", projected increase"</f>
        <v>7.00%, projected increase</v>
      </c>
      <c r="J48" s="617"/>
      <c r="K48" s="1537">
        <f t="shared" si="16"/>
        <v>6.9999080290628166E-2</v>
      </c>
      <c r="L48" s="492">
        <f>ROUND((H48)*(LEFT(M48,5)+1),0)</f>
        <v>116341</v>
      </c>
      <c r="M48" s="1271" t="str">
        <f>TEXT('MYP Assumptions'!$M$62,"0.00%")&amp;", projected increase"</f>
        <v>7.00%, projected increase</v>
      </c>
      <c r="O48" s="1537">
        <f t="shared" si="17"/>
        <v>7.0001117404870167E-2</v>
      </c>
      <c r="P48" s="492">
        <f>ROUND((L48)*(LEFT(Q48,5)+1),0)</f>
        <v>124485</v>
      </c>
      <c r="Q48" s="1268" t="str">
        <f>TEXT('MYP Assumptions'!$M$62,"0.00%")&amp;", projected increase"</f>
        <v>7.00%, projected increase</v>
      </c>
      <c r="S48" s="493">
        <f t="shared" si="18"/>
        <v>7.0000401654817856E-2</v>
      </c>
      <c r="T48" s="492">
        <f>ROUND((P48)*(LEFT(U48,5)+1),0)</f>
        <v>133199</v>
      </c>
      <c r="U48" s="881" t="str">
        <f>TEXT('MYP Assumptions'!$M$62,"0.00%")&amp;", projected increase"</f>
        <v>7.00%, projected increase</v>
      </c>
      <c r="W48" s="493">
        <f t="shared" si="19"/>
        <v>7.0000525529470947E-2</v>
      </c>
      <c r="X48" s="492">
        <f>ROUND((T48)*(LEFT(Y48,5)+1),0)</f>
        <v>142523</v>
      </c>
      <c r="Y48" s="881" t="str">
        <f>TEXT('MYP Assumptions'!$M$62,"0.00%")&amp;", projected increase"</f>
        <v>7.00%, projected increase</v>
      </c>
      <c r="AA48" s="493">
        <f t="shared" si="20"/>
        <v>7.0002736400440635E-2</v>
      </c>
      <c r="AB48" s="492">
        <f>ROUND((X48)*(LEFT(AC48,5)+1),0)</f>
        <v>152500</v>
      </c>
      <c r="AC48" s="881" t="str">
        <f>TEXT('MYP Assumptions'!$M$62,"0.00%")&amp;", projected increase"</f>
        <v>7.00%, projected increase</v>
      </c>
    </row>
    <row r="49" spans="1:29" x14ac:dyDescent="0.25">
      <c r="A49" s="617"/>
      <c r="B49" s="1282" t="str">
        <f>'2016-17  RS 3010-DO &amp; All Sites'!AD49</f>
        <v>350X</v>
      </c>
      <c r="C49" s="1280" t="str">
        <f>'2016-17  RS 3010-DO &amp; All Sites'!AE49</f>
        <v>SUI</v>
      </c>
      <c r="D49" s="492">
        <f>584+65</f>
        <v>649</v>
      </c>
      <c r="E49" s="1268" t="str">
        <f>TEXT('MYP Assumptions'!$D$56,"0.00%")&amp;", SUI rate"</f>
        <v>0.05%, SUI rate</v>
      </c>
      <c r="F49" s="492"/>
      <c r="G49" s="1537">
        <f t="shared" si="15"/>
        <v>-0.10323574730354391</v>
      </c>
      <c r="H49" s="492">
        <f>514+55+13</f>
        <v>582</v>
      </c>
      <c r="I49" s="1268" t="str">
        <f>TEXT('MYP Assumptions'!E56,"0.00%")&amp;", no rate change"</f>
        <v>0.05%, no rate change</v>
      </c>
      <c r="J49" s="617"/>
      <c r="K49" s="1537">
        <f t="shared" si="16"/>
        <v>1.718213058419244E-3</v>
      </c>
      <c r="L49" s="492">
        <f>ROUND((L41+L30)*LEFT(M49,5),0)</f>
        <v>583</v>
      </c>
      <c r="M49" s="1271" t="str">
        <f>TEXT('MYP Assumptions'!F56,"0.00%")&amp;", no rate change"</f>
        <v>0.05%, no rate change</v>
      </c>
      <c r="O49" s="1537">
        <f t="shared" si="17"/>
        <v>3.6020583190394515E-2</v>
      </c>
      <c r="P49" s="492">
        <f>ROUND((P41+P30)*LEFT(Q49,5),0)</f>
        <v>604</v>
      </c>
      <c r="Q49" s="1268" t="str">
        <f>TEXT('MYP Assumptions'!G56,"0.00%")&amp;", no rate change"</f>
        <v>0.05%, no rate change</v>
      </c>
      <c r="S49" s="493">
        <f t="shared" si="18"/>
        <v>-1.6556291390728477E-3</v>
      </c>
      <c r="T49" s="492">
        <f>ROUND((T41+T30)*LEFT(U49,5),0)</f>
        <v>603</v>
      </c>
      <c r="U49" s="881" t="str">
        <f>TEXT('MYP Assumptions'!H56,"0.00%")&amp;", no rate change"</f>
        <v>0.05%, no rate change</v>
      </c>
      <c r="W49" s="493">
        <f t="shared" si="19"/>
        <v>1.9900497512437811E-2</v>
      </c>
      <c r="X49" s="492">
        <f>ROUND((X41+X30)*LEFT(Y49,5),0)</f>
        <v>615</v>
      </c>
      <c r="Y49" s="881" t="str">
        <f>TEXT('MYP Assumptions'!I56,"0.00%")&amp;", no rate change"</f>
        <v>0.05%, no rate change</v>
      </c>
      <c r="AA49" s="493">
        <f t="shared" si="20"/>
        <v>1.9512195121951219E-2</v>
      </c>
      <c r="AB49" s="492">
        <f>ROUND((AB41+AB30)*LEFT(AC49,5),0)</f>
        <v>627</v>
      </c>
      <c r="AC49" s="881" t="str">
        <f>TEXT('MYP Assumptions'!J56,"0.00%")&amp;", no rate change"</f>
        <v>0.05%, no rate change</v>
      </c>
    </row>
    <row r="50" spans="1:29" x14ac:dyDescent="0.25">
      <c r="A50" s="617"/>
      <c r="B50" s="1282" t="str">
        <f>'2016-17  RS 3010-DO &amp; All Sites'!AD50</f>
        <v>360X</v>
      </c>
      <c r="C50" s="1280" t="str">
        <f>'2016-17  RS 3010-DO &amp; All Sites'!AE50</f>
        <v>W/C</v>
      </c>
      <c r="D50" s="492">
        <f>11878+1446</f>
        <v>13324</v>
      </c>
      <c r="E50" s="1268" t="str">
        <f>TEXT('MYP Assumptions'!$D$57,"0.00%")&amp;", W/C rate"</f>
        <v>1.10%, W/C rate</v>
      </c>
      <c r="F50" s="492"/>
      <c r="G50" s="1537">
        <f t="shared" si="15"/>
        <v>-4.4656259381567094E-2</v>
      </c>
      <c r="H50" s="492">
        <f>250+11261+1218</f>
        <v>12729</v>
      </c>
      <c r="I50" s="1268" t="str">
        <f>TEXT('MYP Assumptions'!E57,"0.00%")&amp;", no rate change"</f>
        <v>1.10%, no rate change</v>
      </c>
      <c r="J50" s="617"/>
      <c r="K50" s="1537">
        <f t="shared" si="16"/>
        <v>7.5418336082960172E-3</v>
      </c>
      <c r="L50" s="492">
        <f>ROUND((L41+L30)*LEFT(M50,5),0)</f>
        <v>12825</v>
      </c>
      <c r="M50" s="1271" t="str">
        <f>TEXT('MYP Assumptions'!F57,"0.00%")&amp;", no rate change"</f>
        <v>1.10%, no rate change</v>
      </c>
      <c r="O50" s="1537">
        <f t="shared" si="17"/>
        <v>3.5321637426900587E-2</v>
      </c>
      <c r="P50" s="492">
        <f>ROUND((P41+P30)*LEFT(Q50,5),0)</f>
        <v>13278</v>
      </c>
      <c r="Q50" s="1268" t="str">
        <f>TEXT('MYP Assumptions'!G57,"0.00%")&amp;", no rate change"</f>
        <v>1.10%, no rate change</v>
      </c>
      <c r="S50" s="493">
        <f t="shared" si="18"/>
        <v>-1.4309383943364965E-3</v>
      </c>
      <c r="T50" s="492">
        <f>ROUND((T41+T30)*LEFT(U50,5),0)</f>
        <v>13259</v>
      </c>
      <c r="U50" s="881" t="str">
        <f>TEXT('MYP Assumptions'!H57,"0.00%")&amp;", no rate change"</f>
        <v>1.10%, no rate change</v>
      </c>
      <c r="W50" s="493">
        <f t="shared" si="19"/>
        <v>1.9986424315559241E-2</v>
      </c>
      <c r="X50" s="492">
        <f>ROUND((X41+X30)*LEFT(Y50,5),0)</f>
        <v>13524</v>
      </c>
      <c r="Y50" s="881" t="str">
        <f>TEXT('MYP Assumptions'!I57,"0.00%")&amp;", no rate change"</f>
        <v>1.10%, no rate change</v>
      </c>
      <c r="AA50" s="493">
        <f t="shared" si="20"/>
        <v>2.0038450162673766E-2</v>
      </c>
      <c r="AB50" s="492">
        <f>ROUND((AB41+AB30)*LEFT(AC50,5),0)</f>
        <v>13795</v>
      </c>
      <c r="AC50" s="881" t="str">
        <f>TEXT('MYP Assumptions'!J57,"0.00%")&amp;", no rate change"</f>
        <v>1.10%, no rate change</v>
      </c>
    </row>
    <row r="51" spans="1:29" x14ac:dyDescent="0.25">
      <c r="A51" s="617"/>
      <c r="B51" s="1282">
        <v>3901</v>
      </c>
      <c r="C51" s="1280" t="s">
        <v>93</v>
      </c>
      <c r="D51" s="492">
        <v>5685</v>
      </c>
      <c r="E51" s="1266"/>
      <c r="F51" s="492"/>
      <c r="G51" s="1537">
        <f t="shared" si="15"/>
        <v>-2.3043095866314863E-2</v>
      </c>
      <c r="H51" s="492">
        <v>5554</v>
      </c>
      <c r="I51" s="1268" t="s">
        <v>166</v>
      </c>
      <c r="J51" s="617"/>
      <c r="K51" s="1537">
        <f t="shared" si="16"/>
        <v>0</v>
      </c>
      <c r="L51" s="492">
        <f>H51</f>
        <v>5554</v>
      </c>
      <c r="M51" s="1271" t="s">
        <v>166</v>
      </c>
      <c r="O51" s="1537">
        <f t="shared" si="17"/>
        <v>0</v>
      </c>
      <c r="P51" s="492">
        <f>L51</f>
        <v>5554</v>
      </c>
      <c r="Q51" s="1268" t="s">
        <v>166</v>
      </c>
      <c r="S51" s="493">
        <f t="shared" si="18"/>
        <v>0</v>
      </c>
      <c r="T51" s="492">
        <f>P51</f>
        <v>5554</v>
      </c>
      <c r="U51" s="881" t="s">
        <v>166</v>
      </c>
      <c r="W51" s="493">
        <f t="shared" si="19"/>
        <v>0</v>
      </c>
      <c r="X51" s="492">
        <f>T51</f>
        <v>5554</v>
      </c>
      <c r="Y51" s="881" t="s">
        <v>166</v>
      </c>
      <c r="AA51" s="493">
        <f t="shared" si="20"/>
        <v>0</v>
      </c>
      <c r="AB51" s="492">
        <f>X51</f>
        <v>5554</v>
      </c>
      <c r="AC51" s="881" t="s">
        <v>166</v>
      </c>
    </row>
    <row r="52" spans="1:29" ht="6.75" customHeight="1" x14ac:dyDescent="0.25">
      <c r="A52" s="617"/>
      <c r="E52" s="1266"/>
      <c r="F52" s="492"/>
      <c r="G52" s="1537"/>
      <c r="H52" s="492"/>
      <c r="I52" s="1268"/>
      <c r="J52" s="617"/>
      <c r="K52" s="1537"/>
      <c r="L52" s="492"/>
      <c r="M52" s="1271"/>
      <c r="O52" s="1537"/>
      <c r="Q52" s="1268"/>
      <c r="S52" s="493"/>
      <c r="T52" s="492"/>
      <c r="U52" s="881"/>
      <c r="W52" s="493"/>
      <c r="X52" s="492"/>
      <c r="Y52" s="881"/>
      <c r="AA52" s="493"/>
      <c r="AB52" s="492"/>
      <c r="AC52" s="881"/>
    </row>
    <row r="53" spans="1:29" x14ac:dyDescent="0.25">
      <c r="A53" s="621"/>
      <c r="B53" s="1282"/>
      <c r="C53" s="1280"/>
      <c r="D53" s="859">
        <f>SUM(D44:D52)</f>
        <v>303415</v>
      </c>
      <c r="E53" s="1266"/>
      <c r="F53" s="492"/>
      <c r="G53" s="1537">
        <f t="shared" si="15"/>
        <v>4.9865695499563302E-2</v>
      </c>
      <c r="H53" s="859">
        <f>SUM(H44:H52)</f>
        <v>318545</v>
      </c>
      <c r="I53" s="1882">
        <f>+H53-D53</f>
        <v>15130</v>
      </c>
      <c r="J53" s="621"/>
      <c r="K53" s="1537">
        <f t="shared" si="16"/>
        <v>0.10024015445227519</v>
      </c>
      <c r="L53" s="859">
        <f>SUM(L44:L52)</f>
        <v>350476</v>
      </c>
      <c r="M53" s="1882">
        <f>+L53-H53</f>
        <v>31931</v>
      </c>
      <c r="O53" s="1537">
        <f t="shared" si="17"/>
        <v>0.11223307730058549</v>
      </c>
      <c r="P53" s="859">
        <f>SUM(P44:P52)</f>
        <v>389811</v>
      </c>
      <c r="Q53" s="1882">
        <f>+P53-L53</f>
        <v>39335</v>
      </c>
      <c r="S53" s="493">
        <f t="shared" si="18"/>
        <v>5.7622796688651681E-2</v>
      </c>
      <c r="T53" s="859">
        <f>SUM(T44:T52)</f>
        <v>412273</v>
      </c>
      <c r="U53" s="846"/>
      <c r="W53" s="493">
        <f t="shared" si="19"/>
        <v>3.9682443429475127E-2</v>
      </c>
      <c r="X53" s="859">
        <f>SUM(X44:X52)</f>
        <v>428633</v>
      </c>
      <c r="Y53" s="846"/>
      <c r="AA53" s="493">
        <f t="shared" si="20"/>
        <v>3.8762764416178874E-2</v>
      </c>
      <c r="AB53" s="859">
        <f>SUM(AB44:AB52)</f>
        <v>445248</v>
      </c>
      <c r="AC53" s="846"/>
    </row>
    <row r="54" spans="1:29" x14ac:dyDescent="0.25">
      <c r="A54" s="622"/>
      <c r="B54" s="1282"/>
      <c r="E54" s="1266"/>
      <c r="F54" s="492"/>
      <c r="H54" s="492"/>
      <c r="I54" s="1271"/>
      <c r="J54" s="617"/>
      <c r="L54" s="492"/>
      <c r="M54" s="1300"/>
      <c r="Q54" s="1310"/>
      <c r="T54" s="492"/>
      <c r="U54" s="846"/>
      <c r="X54" s="492"/>
      <c r="Y54" s="846"/>
      <c r="AB54" s="492"/>
      <c r="AC54" s="846"/>
    </row>
    <row r="55" spans="1:29" x14ac:dyDescent="0.25">
      <c r="A55" s="621"/>
      <c r="B55" s="1279" t="str">
        <f>'2016-17  RS 3010-DO &amp; All Sites'!AD55</f>
        <v>Total Salaries and Benefits</v>
      </c>
      <c r="D55" s="859">
        <f>SUM(D53,D41,D30)</f>
        <v>1433494</v>
      </c>
      <c r="E55" s="1266"/>
      <c r="F55" s="492"/>
      <c r="G55" s="1537">
        <f>IF(D55=0,"0.00%",(H55-D55)/D55)</f>
        <v>2.5132299123679626E-2</v>
      </c>
      <c r="H55" s="859">
        <f>SUM(H53,H41,H30)</f>
        <v>1469521</v>
      </c>
      <c r="I55" s="1882">
        <f>+H55-D55</f>
        <v>36027</v>
      </c>
      <c r="J55" s="621"/>
      <c r="K55" s="1537">
        <f>IF(H55=0,"0.00%",(L55-H55)/H55)</f>
        <v>3.1860721963143095E-2</v>
      </c>
      <c r="L55" s="859">
        <f>SUM(L53,L41,L30)</f>
        <v>1516341</v>
      </c>
      <c r="M55" s="1882">
        <f>+L55-H55</f>
        <v>46820</v>
      </c>
      <c r="O55" s="1537">
        <f>IF(L55=0,"0.00%",(P55-L55)/L55)</f>
        <v>5.3151632779170385E-2</v>
      </c>
      <c r="P55" s="859">
        <f>SUM(P53,P41,P30)</f>
        <v>1596937</v>
      </c>
      <c r="Q55" s="1882">
        <f>+P55-L55</f>
        <v>80596</v>
      </c>
      <c r="S55" s="493">
        <f>IF(P55=0,"0.00%",(T55-P55)/P55)</f>
        <v>1.2974212508070137E-2</v>
      </c>
      <c r="T55" s="859">
        <f>SUM(T53,T41,T30)</f>
        <v>1617656</v>
      </c>
      <c r="U55" s="846"/>
      <c r="W55" s="493">
        <f>IF(T55=0,"0.00%",(X55-T55)/T55)</f>
        <v>2.5015825367074335E-2</v>
      </c>
      <c r="X55" s="859">
        <f>SUM(X53,X41,X30)</f>
        <v>1658123</v>
      </c>
      <c r="Y55" s="846"/>
      <c r="AA55" s="493">
        <f>IF(X55=0,"0.00%",(AB55-X55)/X55)</f>
        <v>2.4849784967701433E-2</v>
      </c>
      <c r="AB55" s="859">
        <f>SUM(AB53,AB41,AB30)</f>
        <v>1699327</v>
      </c>
      <c r="AC55" s="846"/>
    </row>
    <row r="56" spans="1:29" x14ac:dyDescent="0.25">
      <c r="A56" s="841"/>
      <c r="E56" s="1266"/>
      <c r="F56" s="492"/>
      <c r="H56" s="492"/>
      <c r="I56" s="1271"/>
      <c r="J56" s="617"/>
      <c r="L56" s="492"/>
      <c r="M56" s="1300"/>
      <c r="Q56" s="1310"/>
      <c r="T56" s="492"/>
      <c r="U56" s="846"/>
      <c r="X56" s="492"/>
      <c r="Y56" s="846"/>
      <c r="AB56" s="492"/>
      <c r="AC56" s="846"/>
    </row>
    <row r="57" spans="1:29" x14ac:dyDescent="0.25">
      <c r="A57" s="617"/>
      <c r="E57" s="1266"/>
      <c r="F57" s="492"/>
      <c r="H57" s="492"/>
      <c r="I57" s="1271"/>
      <c r="J57" s="617"/>
      <c r="L57" s="492"/>
      <c r="M57" s="1300"/>
      <c r="Q57" s="1310"/>
      <c r="T57" s="492"/>
      <c r="U57" s="846"/>
      <c r="X57" s="492"/>
      <c r="Y57" s="846"/>
      <c r="AB57" s="492"/>
      <c r="AC57" s="846"/>
    </row>
    <row r="58" spans="1:29" x14ac:dyDescent="0.25">
      <c r="A58" s="841"/>
      <c r="B58" s="1279" t="str">
        <f>'2016-17  RS 3010-DO &amp; All Sites'!AD58</f>
        <v>Supplies</v>
      </c>
      <c r="C58" s="1283"/>
      <c r="E58" s="1266"/>
      <c r="F58" s="492"/>
      <c r="H58" s="876"/>
      <c r="I58" s="1267"/>
      <c r="J58" s="617"/>
      <c r="L58" s="885"/>
      <c r="M58" s="1305"/>
      <c r="P58" s="876"/>
      <c r="Q58" s="1267"/>
      <c r="T58" s="492"/>
      <c r="U58" s="846"/>
      <c r="X58" s="492"/>
      <c r="Y58" s="846"/>
      <c r="AB58" s="492"/>
      <c r="AC58" s="846"/>
    </row>
    <row r="59" spans="1:29" x14ac:dyDescent="0.25">
      <c r="A59" s="617"/>
      <c r="B59" s="1282" t="s">
        <v>24</v>
      </c>
      <c r="C59" s="1280" t="s">
        <v>23</v>
      </c>
      <c r="D59" s="492">
        <v>5846.44</v>
      </c>
      <c r="E59" s="1266"/>
      <c r="F59" s="492"/>
      <c r="G59" s="1537">
        <f t="shared" ref="G59:G66" si="21">IF(D59=0,"0.00%",(H59-D59)/D59)</f>
        <v>0.3700645178946505</v>
      </c>
      <c r="H59" s="492">
        <v>8010</v>
      </c>
      <c r="I59" s="1271"/>
      <c r="J59" s="617"/>
      <c r="K59" s="1537">
        <f t="shared" ref="K59:K66" si="22">IF(H59=0,"0.00%",(L59-H59)/H59)</f>
        <v>-0.37578027465667913</v>
      </c>
      <c r="L59" s="492">
        <v>5000</v>
      </c>
      <c r="M59" s="1271"/>
      <c r="O59" s="1537">
        <f t="shared" ref="O59:O66" si="23">IF(L59=0,"0.00%",(P59-L59)/L59)</f>
        <v>-0.5</v>
      </c>
      <c r="P59" s="492">
        <v>2500</v>
      </c>
      <c r="Q59" s="1271"/>
      <c r="S59" s="493">
        <f t="shared" ref="S59:S66" si="24">IF(P59=0,"0.00%",(T59-P59)/P59)</f>
        <v>2.7199999999999998E-2</v>
      </c>
      <c r="T59" s="492">
        <f>ROUND(P59*(LEFT(U59,5)+1),0)</f>
        <v>2568</v>
      </c>
      <c r="U59" s="881" t="str">
        <f>TEXT('MYP Assumptions'!H72,"0.00%")&amp;", CPI"</f>
        <v>2.73%, CPI</v>
      </c>
      <c r="W59" s="493">
        <f t="shared" ref="W59:W66" si="25">IF(T59=0,"0.00%",(X59-T59)/T59)</f>
        <v>2.7258566978193146E-2</v>
      </c>
      <c r="X59" s="492">
        <f>ROUND(T59*(LEFT(Y59,5)+1),0)</f>
        <v>2638</v>
      </c>
      <c r="Y59" s="881" t="str">
        <f>TEXT('MYP Assumptions'!I72,"0.00%")&amp;", CPI"</f>
        <v>2.73%, CPI</v>
      </c>
      <c r="AA59" s="493">
        <f t="shared" ref="AA59:AA66" si="26">IF(X59=0,"0.00%",(AB59-X59)/X59)</f>
        <v>2.7293404094010616E-2</v>
      </c>
      <c r="AB59" s="492">
        <f>ROUND(X59*(LEFT(AC59,5)+1),0)</f>
        <v>2710</v>
      </c>
      <c r="AC59" s="881" t="str">
        <f>TEXT('MYP Assumptions'!J72,"0.00%")&amp;", CPI"</f>
        <v>2.73%, CPI</v>
      </c>
    </row>
    <row r="60" spans="1:29" x14ac:dyDescent="0.25">
      <c r="A60" s="617"/>
      <c r="B60" s="1282" t="s">
        <v>94</v>
      </c>
      <c r="C60" s="1280" t="s">
        <v>96</v>
      </c>
      <c r="D60" s="492">
        <v>0</v>
      </c>
      <c r="E60" s="1266"/>
      <c r="F60" s="492"/>
      <c r="G60" s="1537" t="str">
        <f t="shared" si="21"/>
        <v>0.00%</v>
      </c>
      <c r="H60" s="492">
        <v>0</v>
      </c>
      <c r="I60" s="1271"/>
      <c r="J60" s="617"/>
      <c r="K60" s="1537" t="str">
        <f t="shared" si="22"/>
        <v>0.00%</v>
      </c>
      <c r="L60" s="492">
        <f t="shared" ref="L60:L65" si="27">ROUND(H60*(1-$L$58),0)</f>
        <v>0</v>
      </c>
      <c r="M60" s="1271"/>
      <c r="O60" s="1537" t="str">
        <f t="shared" si="23"/>
        <v>0.00%</v>
      </c>
      <c r="P60" s="492">
        <f t="shared" ref="P60:P65" si="28">ROUND(L60*(1-$P$58),0)</f>
        <v>0</v>
      </c>
      <c r="Q60" s="1271"/>
      <c r="S60" s="493" t="str">
        <f t="shared" si="24"/>
        <v>0.00%</v>
      </c>
      <c r="T60" s="492">
        <f t="shared" ref="T60:T65" si="29">ROUND(P60*(LEFT(U60,5)+1),0)</f>
        <v>0</v>
      </c>
      <c r="U60" s="881" t="str">
        <f>TEXT('MYP Assumptions'!H72,"0.00%")&amp;", CPI"</f>
        <v>2.73%, CPI</v>
      </c>
      <c r="W60" s="493" t="str">
        <f t="shared" si="25"/>
        <v>0.00%</v>
      </c>
      <c r="X60" s="492">
        <f t="shared" ref="X60:X65" si="30">ROUND(T60*(LEFT(Y60,5)+1),0)</f>
        <v>0</v>
      </c>
      <c r="Y60" s="881" t="str">
        <f>TEXT('MYP Assumptions'!I72,"0.00%")&amp;", CPI"</f>
        <v>2.73%, CPI</v>
      </c>
      <c r="AA60" s="493" t="str">
        <f t="shared" si="26"/>
        <v>0.00%</v>
      </c>
      <c r="AB60" s="492">
        <f t="shared" ref="AB60:AB65" si="31">ROUND(X60*(LEFT(AC60,5)+1),0)</f>
        <v>0</v>
      </c>
      <c r="AC60" s="881" t="str">
        <f>TEXT('MYP Assumptions'!J72,"0.00%")&amp;", CPI"</f>
        <v>2.73%, CPI</v>
      </c>
    </row>
    <row r="61" spans="1:29" x14ac:dyDescent="0.25">
      <c r="A61" s="617"/>
      <c r="B61" s="1282" t="s">
        <v>95</v>
      </c>
      <c r="C61" s="1280" t="s">
        <v>97</v>
      </c>
      <c r="D61" s="492">
        <v>2574</v>
      </c>
      <c r="E61" s="1266"/>
      <c r="F61" s="492"/>
      <c r="G61" s="1537">
        <f t="shared" si="21"/>
        <v>-1</v>
      </c>
      <c r="H61" s="492">
        <v>0</v>
      </c>
      <c r="I61" s="1271"/>
      <c r="J61" s="617"/>
      <c r="K61" s="1537" t="str">
        <f t="shared" si="22"/>
        <v>0.00%</v>
      </c>
      <c r="L61" s="492">
        <f t="shared" si="27"/>
        <v>0</v>
      </c>
      <c r="M61" s="1271"/>
      <c r="O61" s="1537" t="str">
        <f t="shared" si="23"/>
        <v>0.00%</v>
      </c>
      <c r="P61" s="492">
        <f t="shared" si="28"/>
        <v>0</v>
      </c>
      <c r="Q61" s="1271"/>
      <c r="S61" s="493" t="str">
        <f t="shared" si="24"/>
        <v>0.00%</v>
      </c>
      <c r="T61" s="492">
        <f t="shared" si="29"/>
        <v>0</v>
      </c>
      <c r="U61" s="881" t="str">
        <f>TEXT('MYP Assumptions'!H72,"0.00%")&amp;", CPI"</f>
        <v>2.73%, CPI</v>
      </c>
      <c r="W61" s="493" t="str">
        <f t="shared" si="25"/>
        <v>0.00%</v>
      </c>
      <c r="X61" s="492">
        <f t="shared" si="30"/>
        <v>0</v>
      </c>
      <c r="Y61" s="881" t="str">
        <f>TEXT('MYP Assumptions'!I72,"0.00%")&amp;", CPI"</f>
        <v>2.73%, CPI</v>
      </c>
      <c r="AA61" s="493" t="str">
        <f t="shared" si="26"/>
        <v>0.00%</v>
      </c>
      <c r="AB61" s="492">
        <f t="shared" si="31"/>
        <v>0</v>
      </c>
      <c r="AC61" s="881" t="str">
        <f>TEXT('MYP Assumptions'!J72,"0.00%")&amp;", CPI"</f>
        <v>2.73%, CPI</v>
      </c>
    </row>
    <row r="62" spans="1:29" x14ac:dyDescent="0.25">
      <c r="A62" s="617"/>
      <c r="B62" s="1282" t="s">
        <v>22</v>
      </c>
      <c r="C62" s="1280" t="s">
        <v>21</v>
      </c>
      <c r="D62" s="492">
        <v>493939.01</v>
      </c>
      <c r="E62" s="1266"/>
      <c r="F62" s="492"/>
      <c r="G62" s="1537">
        <f t="shared" si="21"/>
        <v>-0.73177255224283666</v>
      </c>
      <c r="H62" s="492">
        <f>138302-814-5000</f>
        <v>132488</v>
      </c>
      <c r="I62" s="1271"/>
      <c r="J62" s="617"/>
      <c r="K62" s="1537">
        <f t="shared" si="22"/>
        <v>-9.3646217015880689E-2</v>
      </c>
      <c r="L62" s="492">
        <v>120081</v>
      </c>
      <c r="M62" s="1271"/>
      <c r="O62" s="1537">
        <f t="shared" si="23"/>
        <v>-0.22901208351029723</v>
      </c>
      <c r="P62" s="492">
        <v>92581</v>
      </c>
      <c r="Q62" s="1271"/>
      <c r="S62" s="493">
        <f t="shared" si="24"/>
        <v>2.7295017336170489E-2</v>
      </c>
      <c r="T62" s="492">
        <f t="shared" si="29"/>
        <v>95108</v>
      </c>
      <c r="U62" s="881" t="str">
        <f>TEXT('MYP Assumptions'!H72,"0.00%")&amp;", CPI"</f>
        <v>2.73%, CPI</v>
      </c>
      <c r="W62" s="493">
        <f t="shared" si="25"/>
        <v>2.729528535980149E-2</v>
      </c>
      <c r="X62" s="492">
        <f t="shared" si="30"/>
        <v>97704</v>
      </c>
      <c r="Y62" s="881" t="str">
        <f>TEXT('MYP Assumptions'!I72,"0.00%")&amp;", CPI"</f>
        <v>2.73%, CPI</v>
      </c>
      <c r="AA62" s="493">
        <f t="shared" si="26"/>
        <v>2.7296732989437484E-2</v>
      </c>
      <c r="AB62" s="492">
        <f t="shared" si="31"/>
        <v>100371</v>
      </c>
      <c r="AC62" s="881" t="str">
        <f>TEXT('MYP Assumptions'!J72,"0.00%")&amp;", CPI"</f>
        <v>2.73%, CPI</v>
      </c>
    </row>
    <row r="63" spans="1:29" x14ac:dyDescent="0.25">
      <c r="A63" s="617"/>
      <c r="B63" s="1282" t="s">
        <v>20</v>
      </c>
      <c r="C63" s="1280" t="s">
        <v>19</v>
      </c>
      <c r="D63" s="492">
        <v>11349.22</v>
      </c>
      <c r="E63" s="1266"/>
      <c r="F63" s="492"/>
      <c r="G63" s="1537">
        <f t="shared" si="21"/>
        <v>0.19550065995724822</v>
      </c>
      <c r="H63" s="492">
        <f>14268-700</f>
        <v>13568</v>
      </c>
      <c r="I63" s="1271"/>
      <c r="J63" s="617"/>
      <c r="K63" s="1537">
        <f t="shared" si="22"/>
        <v>-0.63148584905660377</v>
      </c>
      <c r="L63" s="492">
        <v>5000</v>
      </c>
      <c r="M63" s="1271"/>
      <c r="O63" s="1537">
        <f t="shared" si="23"/>
        <v>-0.5</v>
      </c>
      <c r="P63" s="492">
        <v>2500</v>
      </c>
      <c r="Q63" s="1271"/>
      <c r="S63" s="493">
        <f t="shared" si="24"/>
        <v>2.7199999999999998E-2</v>
      </c>
      <c r="T63" s="492">
        <f t="shared" si="29"/>
        <v>2568</v>
      </c>
      <c r="U63" s="881" t="str">
        <f>TEXT('MYP Assumptions'!H72,"0.00%")&amp;", CPI"</f>
        <v>2.73%, CPI</v>
      </c>
      <c r="W63" s="493">
        <f t="shared" si="25"/>
        <v>2.7258566978193146E-2</v>
      </c>
      <c r="X63" s="492">
        <f t="shared" si="30"/>
        <v>2638</v>
      </c>
      <c r="Y63" s="881" t="str">
        <f>TEXT('MYP Assumptions'!I72,"0.00%")&amp;", CPI"</f>
        <v>2.73%, CPI</v>
      </c>
      <c r="AA63" s="493">
        <f t="shared" si="26"/>
        <v>2.7293404094010616E-2</v>
      </c>
      <c r="AB63" s="492">
        <f t="shared" si="31"/>
        <v>2710</v>
      </c>
      <c r="AC63" s="881" t="str">
        <f>TEXT('MYP Assumptions'!J72,"0.00%")&amp;", CPI"</f>
        <v>2.73%, CPI</v>
      </c>
    </row>
    <row r="64" spans="1:29" x14ac:dyDescent="0.25">
      <c r="A64" s="617"/>
      <c r="B64" s="1282" t="s">
        <v>18</v>
      </c>
      <c r="C64" s="1280" t="s">
        <v>17</v>
      </c>
      <c r="D64" s="492">
        <v>77142.37</v>
      </c>
      <c r="E64" s="1266"/>
      <c r="F64" s="492"/>
      <c r="G64" s="1537">
        <f t="shared" si="21"/>
        <v>-0.86616952525570579</v>
      </c>
      <c r="H64" s="492">
        <f>11109-785</f>
        <v>10324</v>
      </c>
      <c r="I64" s="1271"/>
      <c r="J64" s="617"/>
      <c r="K64" s="1537">
        <f t="shared" si="22"/>
        <v>-0.51569159240604412</v>
      </c>
      <c r="L64" s="492">
        <v>5000</v>
      </c>
      <c r="M64" s="1271"/>
      <c r="O64" s="1537">
        <f t="shared" si="23"/>
        <v>-0.5</v>
      </c>
      <c r="P64" s="492">
        <v>2500</v>
      </c>
      <c r="Q64" s="1271"/>
      <c r="S64" s="493">
        <f t="shared" si="24"/>
        <v>2.7199999999999998E-2</v>
      </c>
      <c r="T64" s="492">
        <f t="shared" si="29"/>
        <v>2568</v>
      </c>
      <c r="U64" s="881" t="str">
        <f>TEXT('MYP Assumptions'!H72,"0.00%")&amp;", CPI"</f>
        <v>2.73%, CPI</v>
      </c>
      <c r="W64" s="493">
        <f t="shared" si="25"/>
        <v>2.7258566978193146E-2</v>
      </c>
      <c r="X64" s="492">
        <f t="shared" si="30"/>
        <v>2638</v>
      </c>
      <c r="Y64" s="881" t="str">
        <f>TEXT('MYP Assumptions'!I72,"0.00%")&amp;", CPI"</f>
        <v>2.73%, CPI</v>
      </c>
      <c r="AA64" s="493">
        <f t="shared" si="26"/>
        <v>2.7293404094010616E-2</v>
      </c>
      <c r="AB64" s="492">
        <f t="shared" si="31"/>
        <v>2710</v>
      </c>
      <c r="AC64" s="881" t="str">
        <f>TEXT('MYP Assumptions'!J72,"0.00%")&amp;", CPI"</f>
        <v>2.73%, CPI</v>
      </c>
    </row>
    <row r="65" spans="1:31" x14ac:dyDescent="0.25">
      <c r="A65" s="617"/>
      <c r="B65" s="1282"/>
      <c r="C65" s="1280"/>
      <c r="D65" s="492">
        <f>+'2016-17  RS 3010-DO &amp; All Sites'!AF65</f>
        <v>0</v>
      </c>
      <c r="E65" s="1266"/>
      <c r="F65" s="492"/>
      <c r="G65" s="1537" t="str">
        <f t="shared" si="21"/>
        <v>0.00%</v>
      </c>
      <c r="H65" s="492">
        <v>0</v>
      </c>
      <c r="I65" s="1268"/>
      <c r="J65" s="617"/>
      <c r="K65" s="1537" t="str">
        <f t="shared" si="22"/>
        <v>0.00%</v>
      </c>
      <c r="L65" s="492">
        <f t="shared" si="27"/>
        <v>0</v>
      </c>
      <c r="M65" s="1271"/>
      <c r="O65" s="1537" t="str">
        <f t="shared" si="23"/>
        <v>0.00%</v>
      </c>
      <c r="P65" s="492">
        <f t="shared" si="28"/>
        <v>0</v>
      </c>
      <c r="Q65" s="1271"/>
      <c r="S65" s="493" t="str">
        <f t="shared" si="24"/>
        <v>0.00%</v>
      </c>
      <c r="T65" s="492">
        <f t="shared" si="29"/>
        <v>0</v>
      </c>
      <c r="U65" s="881" t="str">
        <f>TEXT('MYP Assumptions'!H72,"0.00%")&amp;", CPI"</f>
        <v>2.73%, CPI</v>
      </c>
      <c r="W65" s="493" t="str">
        <f t="shared" si="25"/>
        <v>0.00%</v>
      </c>
      <c r="X65" s="492">
        <f t="shared" si="30"/>
        <v>0</v>
      </c>
      <c r="Y65" s="881" t="str">
        <f>TEXT('MYP Assumptions'!I72,"0.00%")&amp;", CPI"</f>
        <v>2.73%, CPI</v>
      </c>
      <c r="AA65" s="493" t="str">
        <f t="shared" si="26"/>
        <v>0.00%</v>
      </c>
      <c r="AB65" s="492">
        <f t="shared" si="31"/>
        <v>0</v>
      </c>
      <c r="AC65" s="881" t="str">
        <f>TEXT('MYP Assumptions'!J72,"0.00%")&amp;", CPI"</f>
        <v>2.73%, CPI</v>
      </c>
    </row>
    <row r="66" spans="1:31" x14ac:dyDescent="0.25">
      <c r="A66" s="621"/>
      <c r="B66" s="1263"/>
      <c r="D66" s="859">
        <f>SUM(D59:D65)</f>
        <v>590851.04</v>
      </c>
      <c r="E66" s="1266"/>
      <c r="F66" s="492"/>
      <c r="G66" s="1537">
        <f t="shared" si="21"/>
        <v>-0.72177420555949268</v>
      </c>
      <c r="H66" s="859">
        <f>SUM(H59:H65)</f>
        <v>164390</v>
      </c>
      <c r="I66" s="1882">
        <f>+H66-D66</f>
        <v>-426461.04000000004</v>
      </c>
      <c r="J66" s="621"/>
      <c r="K66" s="1537">
        <f t="shared" si="22"/>
        <v>-0.17828943366384817</v>
      </c>
      <c r="L66" s="859">
        <f>SUM(L59:L65)</f>
        <v>135081</v>
      </c>
      <c r="M66" s="1882">
        <f>+L66-H66</f>
        <v>-29309</v>
      </c>
      <c r="O66" s="1537">
        <f t="shared" si="23"/>
        <v>-0.25910379698107061</v>
      </c>
      <c r="P66" s="859">
        <f>SUM(P59:P65)</f>
        <v>100081</v>
      </c>
      <c r="Q66" s="1882">
        <f>+P66-L66</f>
        <v>-35000</v>
      </c>
      <c r="S66" s="493">
        <f t="shared" si="24"/>
        <v>2.7287896803589094E-2</v>
      </c>
      <c r="T66" s="859">
        <f>SUM(T59:T65)</f>
        <v>102812</v>
      </c>
      <c r="U66" s="846"/>
      <c r="W66" s="493">
        <f t="shared" si="25"/>
        <v>2.7292533945453838E-2</v>
      </c>
      <c r="X66" s="859">
        <f>SUM(X59:X65)</f>
        <v>105618</v>
      </c>
      <c r="Y66" s="846"/>
      <c r="AA66" s="493">
        <f t="shared" si="26"/>
        <v>2.7296483553939668E-2</v>
      </c>
      <c r="AB66" s="859">
        <f>SUM(AB59:AB65)</f>
        <v>108501</v>
      </c>
      <c r="AC66" s="846"/>
    </row>
    <row r="67" spans="1:31" x14ac:dyDescent="0.25">
      <c r="A67" s="617"/>
      <c r="E67" s="1266"/>
      <c r="F67" s="492"/>
      <c r="H67" s="492"/>
      <c r="I67" s="1271"/>
      <c r="J67" s="617"/>
      <c r="L67" s="492"/>
      <c r="M67" s="1300"/>
      <c r="Q67" s="1509"/>
      <c r="T67" s="492"/>
      <c r="U67" s="846"/>
      <c r="X67" s="492"/>
      <c r="Y67" s="846"/>
      <c r="AB67" s="492"/>
      <c r="AC67" s="846"/>
    </row>
    <row r="68" spans="1:31" s="883" customFormat="1" x14ac:dyDescent="0.25">
      <c r="A68" s="623"/>
      <c r="B68" s="1279" t="str">
        <f>'2016-17  RS 3010-DO &amp; All Sites'!AD68</f>
        <v>Services, Other Oprtng Exp.</v>
      </c>
      <c r="C68" s="1283"/>
      <c r="D68" s="882"/>
      <c r="E68" s="1267"/>
      <c r="F68" s="882"/>
      <c r="G68" s="1565"/>
      <c r="H68" s="882"/>
      <c r="I68" s="1283"/>
      <c r="J68" s="623"/>
      <c r="K68" s="1582"/>
      <c r="L68" s="882"/>
      <c r="M68" s="1304"/>
      <c r="O68" s="1582"/>
      <c r="P68" s="882"/>
      <c r="Q68" s="1300"/>
      <c r="R68" s="878"/>
      <c r="U68" s="884"/>
      <c r="Y68" s="884"/>
      <c r="AC68" s="884"/>
    </row>
    <row r="69" spans="1:31" x14ac:dyDescent="0.25">
      <c r="A69" s="617"/>
      <c r="B69" s="1282" t="s">
        <v>15</v>
      </c>
      <c r="C69" s="1280" t="s">
        <v>14</v>
      </c>
      <c r="D69" s="492">
        <v>174453.53</v>
      </c>
      <c r="E69" s="1266"/>
      <c r="F69" s="492"/>
      <c r="G69" s="1537">
        <f t="shared" ref="G69:G74" si="32">IF(D69=0,"0.00%",(H69-D69)/D69)</f>
        <v>8.7854169531565232E-2</v>
      </c>
      <c r="H69" s="491">
        <v>189780</v>
      </c>
      <c r="I69" s="1271"/>
      <c r="J69" s="617"/>
      <c r="K69" s="1537">
        <f t="shared" ref="K69:K82" si="33">IF(H69=0,"0.00%",(L69-H69)/H69)</f>
        <v>-0.9209611128675308</v>
      </c>
      <c r="L69" s="491">
        <v>15000</v>
      </c>
      <c r="M69" s="1357"/>
      <c r="N69" s="619"/>
      <c r="O69" s="1574">
        <f t="shared" ref="O69:O82" si="34">IF(L69=0,"0.00%",(P69-L69)/L69)</f>
        <v>-0.33333333333333331</v>
      </c>
      <c r="P69" s="491">
        <v>10000</v>
      </c>
      <c r="Q69" s="1511"/>
      <c r="R69" s="1512"/>
      <c r="S69" s="618">
        <f t="shared" ref="S69:S82" si="35">IF(P69=0,"0.00%",(T69-P69)/P69)</f>
        <v>2.7300000000000001E-2</v>
      </c>
      <c r="T69" s="491">
        <f>ROUND(P69*(LEFT(U69,5)+1),0)</f>
        <v>10273</v>
      </c>
      <c r="U69" s="1513" t="str">
        <f>TEXT('MYP Assumptions'!H72,"0.00%")&amp;", CPI"</f>
        <v>2.73%, CPI</v>
      </c>
      <c r="V69" s="619"/>
      <c r="W69" s="618">
        <f t="shared" ref="W69:W82" si="36">IF(T69=0,"0.00%",(X69-T69)/T69)</f>
        <v>2.7255913559816995E-2</v>
      </c>
      <c r="X69" s="491">
        <f>ROUND(T69*(LEFT(Y69,5)+1),0)</f>
        <v>10553</v>
      </c>
      <c r="Y69" s="1513" t="str">
        <f>TEXT('MYP Assumptions'!I72,"0.00%")&amp;", CPI"</f>
        <v>2.73%, CPI</v>
      </c>
      <c r="Z69" s="619"/>
      <c r="AA69" s="618">
        <f t="shared" ref="AA69:AA82" si="37">IF(X69=0,"0.00%",(AB69-X69)/X69)</f>
        <v>2.7290817776935469E-2</v>
      </c>
      <c r="AB69" s="491">
        <f>ROUND(X69*(LEFT(AC69,5)+1),0)</f>
        <v>10841</v>
      </c>
      <c r="AC69" s="1513" t="str">
        <f>TEXT('MYP Assumptions'!J72,"0.00%")&amp;", CPI"</f>
        <v>2.73%, CPI</v>
      </c>
      <c r="AD69" s="619"/>
      <c r="AE69" s="619"/>
    </row>
    <row r="70" spans="1:31" x14ac:dyDescent="0.25">
      <c r="A70" s="617"/>
      <c r="B70" s="1282" t="s">
        <v>13</v>
      </c>
      <c r="C70" s="1280" t="s">
        <v>12</v>
      </c>
      <c r="D70" s="492">
        <f>+'2016-17  RS 3010-DO &amp; All Sites'!AF70</f>
        <v>800</v>
      </c>
      <c r="E70" s="1266"/>
      <c r="F70" s="492"/>
      <c r="G70" s="1537">
        <f t="shared" si="32"/>
        <v>0</v>
      </c>
      <c r="H70" s="492">
        <f t="shared" ref="H70:H74" si="38">ROUND(D70*(1-$H$58),0)</f>
        <v>800</v>
      </c>
      <c r="I70" s="1271"/>
      <c r="J70" s="617"/>
      <c r="K70" s="1537">
        <f t="shared" si="33"/>
        <v>0</v>
      </c>
      <c r="L70" s="492">
        <f>ROUND(H70*(1-$L$58),0)</f>
        <v>800</v>
      </c>
      <c r="M70" s="1271"/>
      <c r="O70" s="1537">
        <f t="shared" si="34"/>
        <v>0</v>
      </c>
      <c r="P70" s="492">
        <f t="shared" ref="P70:P80" si="39">ROUND(L70*(1-$P$58),0)</f>
        <v>800</v>
      </c>
      <c r="Q70" s="1509"/>
      <c r="S70" s="493">
        <f t="shared" si="35"/>
        <v>2.75E-2</v>
      </c>
      <c r="T70" s="492">
        <f t="shared" ref="T70:T80" si="40">ROUND(P70*(LEFT(U70,5)+1),0)</f>
        <v>822</v>
      </c>
      <c r="U70" s="881" t="str">
        <f>TEXT('MYP Assumptions'!H72,"0.00%")&amp;", CPI"</f>
        <v>2.73%, CPI</v>
      </c>
      <c r="W70" s="493">
        <f t="shared" si="36"/>
        <v>2.6763990267639901E-2</v>
      </c>
      <c r="X70" s="492">
        <f t="shared" ref="X70:X80" si="41">ROUND(T70*(LEFT(Y70,5)+1),0)</f>
        <v>844</v>
      </c>
      <c r="Y70" s="881" t="str">
        <f>TEXT('MYP Assumptions'!I72,"0.00%")&amp;", CPI"</f>
        <v>2.73%, CPI</v>
      </c>
      <c r="AA70" s="493">
        <f t="shared" si="37"/>
        <v>2.7251184834123223E-2</v>
      </c>
      <c r="AB70" s="492">
        <f t="shared" ref="AB70:AB80" si="42">ROUND(X70*(LEFT(AC70,5)+1),0)</f>
        <v>867</v>
      </c>
      <c r="AC70" s="881" t="str">
        <f>TEXT('MYP Assumptions'!J72,"0.00%")&amp;", CPI"</f>
        <v>2.73%, CPI</v>
      </c>
    </row>
    <row r="71" spans="1:31" x14ac:dyDescent="0.25">
      <c r="A71" s="617"/>
      <c r="B71" s="1282" t="s">
        <v>128</v>
      </c>
      <c r="C71" s="1280" t="s">
        <v>129</v>
      </c>
      <c r="D71" s="492">
        <v>0</v>
      </c>
      <c r="E71" s="1266"/>
      <c r="F71" s="492"/>
      <c r="G71" s="1537" t="str">
        <f t="shared" si="32"/>
        <v>0.00%</v>
      </c>
      <c r="H71" s="492">
        <f t="shared" si="38"/>
        <v>0</v>
      </c>
      <c r="I71" s="1271"/>
      <c r="J71" s="617"/>
      <c r="K71" s="1537" t="str">
        <f t="shared" si="33"/>
        <v>0.00%</v>
      </c>
      <c r="L71" s="492">
        <f>ROUND(H71*(1-$L$58),0)</f>
        <v>0</v>
      </c>
      <c r="M71" s="1271"/>
      <c r="O71" s="1537" t="str">
        <f t="shared" si="34"/>
        <v>0.00%</v>
      </c>
      <c r="P71" s="492">
        <f t="shared" si="39"/>
        <v>0</v>
      </c>
      <c r="Q71" s="1300"/>
      <c r="S71" s="493" t="str">
        <f t="shared" si="35"/>
        <v>0.00%</v>
      </c>
      <c r="T71" s="492">
        <f t="shared" si="40"/>
        <v>0</v>
      </c>
      <c r="U71" s="881" t="str">
        <f>TEXT('MYP Assumptions'!H72,"0.00%")&amp;", CPI"</f>
        <v>2.73%, CPI</v>
      </c>
      <c r="W71" s="493" t="str">
        <f t="shared" si="36"/>
        <v>0.00%</v>
      </c>
      <c r="X71" s="492">
        <f t="shared" si="41"/>
        <v>0</v>
      </c>
      <c r="Y71" s="881" t="str">
        <f>TEXT('MYP Assumptions'!I72,"0.00%")&amp;", CPI"</f>
        <v>2.73%, CPI</v>
      </c>
      <c r="AA71" s="493" t="str">
        <f t="shared" si="37"/>
        <v>0.00%</v>
      </c>
      <c r="AB71" s="492">
        <f t="shared" si="42"/>
        <v>0</v>
      </c>
      <c r="AC71" s="881" t="str">
        <f>TEXT('MYP Assumptions'!J72,"0.00%")&amp;", CPI"</f>
        <v>2.73%, CPI</v>
      </c>
    </row>
    <row r="72" spans="1:31" x14ac:dyDescent="0.25">
      <c r="A72" s="617"/>
      <c r="B72" s="1282" t="s">
        <v>11</v>
      </c>
      <c r="C72" s="1280" t="s">
        <v>10</v>
      </c>
      <c r="D72" s="492">
        <v>3199</v>
      </c>
      <c r="E72" s="1266"/>
      <c r="F72" s="492"/>
      <c r="G72" s="1537">
        <f t="shared" si="32"/>
        <v>-0.31791184745232887</v>
      </c>
      <c r="H72" s="492">
        <f>250+932+1000</f>
        <v>2182</v>
      </c>
      <c r="I72" s="1271"/>
      <c r="J72" s="617"/>
      <c r="K72" s="1537">
        <f t="shared" si="33"/>
        <v>-0.54170485792850598</v>
      </c>
      <c r="L72" s="492">
        <v>1000</v>
      </c>
      <c r="M72" s="1271"/>
      <c r="O72" s="1537">
        <f t="shared" si="34"/>
        <v>0</v>
      </c>
      <c r="P72" s="492">
        <f t="shared" si="39"/>
        <v>1000</v>
      </c>
      <c r="Q72" s="1509"/>
      <c r="S72" s="493">
        <f t="shared" si="35"/>
        <v>2.7E-2</v>
      </c>
      <c r="T72" s="492">
        <f t="shared" si="40"/>
        <v>1027</v>
      </c>
      <c r="U72" s="881" t="str">
        <f>TEXT('MYP Assumptions'!H72,"0.00%")&amp;", CPI"</f>
        <v>2.73%, CPI</v>
      </c>
      <c r="W72" s="493">
        <f t="shared" si="36"/>
        <v>2.7263875365141188E-2</v>
      </c>
      <c r="X72" s="492">
        <f t="shared" si="41"/>
        <v>1055</v>
      </c>
      <c r="Y72" s="881" t="str">
        <f>TEXT('MYP Assumptions'!I72,"0.00%")&amp;", CPI"</f>
        <v>2.73%, CPI</v>
      </c>
      <c r="AA72" s="493">
        <f t="shared" si="37"/>
        <v>2.7488151658767772E-2</v>
      </c>
      <c r="AB72" s="492">
        <f t="shared" si="42"/>
        <v>1084</v>
      </c>
      <c r="AC72" s="881" t="str">
        <f>TEXT('MYP Assumptions'!J72,"0.00%")&amp;", CPI"</f>
        <v>2.73%, CPI</v>
      </c>
    </row>
    <row r="73" spans="1:31" x14ac:dyDescent="0.25">
      <c r="A73" s="617"/>
      <c r="B73" s="1282" t="s">
        <v>120</v>
      </c>
      <c r="C73" s="1280" t="s">
        <v>121</v>
      </c>
      <c r="D73" s="492">
        <v>255.7</v>
      </c>
      <c r="E73" s="1266"/>
      <c r="F73" s="492"/>
      <c r="G73" s="1537">
        <f t="shared" si="32"/>
        <v>-1</v>
      </c>
      <c r="H73" s="492">
        <v>0</v>
      </c>
      <c r="I73" s="1271"/>
      <c r="J73" s="617"/>
      <c r="K73" s="1537" t="str">
        <f t="shared" si="33"/>
        <v>0.00%</v>
      </c>
      <c r="L73" s="492">
        <f>ROUND(H73*(1-$L$58),0)</f>
        <v>0</v>
      </c>
      <c r="M73" s="1271"/>
      <c r="O73" s="1537" t="str">
        <f t="shared" si="34"/>
        <v>0.00%</v>
      </c>
      <c r="P73" s="492">
        <f t="shared" si="39"/>
        <v>0</v>
      </c>
      <c r="Q73" s="1509"/>
      <c r="S73" s="493" t="str">
        <f t="shared" si="35"/>
        <v>0.00%</v>
      </c>
      <c r="T73" s="492">
        <f t="shared" si="40"/>
        <v>0</v>
      </c>
      <c r="U73" s="881" t="str">
        <f>TEXT('MYP Assumptions'!H72,"0.00%")&amp;", CPI"</f>
        <v>2.73%, CPI</v>
      </c>
      <c r="W73" s="493" t="str">
        <f t="shared" si="36"/>
        <v>0.00%</v>
      </c>
      <c r="X73" s="492">
        <f t="shared" si="41"/>
        <v>0</v>
      </c>
      <c r="Y73" s="881" t="str">
        <f>TEXT('MYP Assumptions'!I72,"0.00%")&amp;", CPI"</f>
        <v>2.73%, CPI</v>
      </c>
      <c r="AA73" s="493" t="str">
        <f t="shared" si="37"/>
        <v>0.00%</v>
      </c>
      <c r="AB73" s="492">
        <f t="shared" si="42"/>
        <v>0</v>
      </c>
      <c r="AC73" s="881" t="str">
        <f>TEXT('MYP Assumptions'!J72,"0.00%")&amp;", CPI"</f>
        <v>2.73%, CPI</v>
      </c>
    </row>
    <row r="74" spans="1:31" x14ac:dyDescent="0.25">
      <c r="A74" s="617"/>
      <c r="B74" s="1282" t="s">
        <v>126</v>
      </c>
      <c r="C74" s="1280" t="s">
        <v>127</v>
      </c>
      <c r="D74" s="492">
        <v>0</v>
      </c>
      <c r="E74" s="1266"/>
      <c r="F74" s="492"/>
      <c r="G74" s="1537" t="str">
        <f t="shared" si="32"/>
        <v>0.00%</v>
      </c>
      <c r="H74" s="492">
        <f t="shared" si="38"/>
        <v>0</v>
      </c>
      <c r="I74" s="1271"/>
      <c r="J74" s="617"/>
      <c r="K74" s="1537" t="str">
        <f t="shared" si="33"/>
        <v>0.00%</v>
      </c>
      <c r="L74" s="492">
        <f>ROUND(H74*(1-$L$58),0)</f>
        <v>0</v>
      </c>
      <c r="M74" s="1271"/>
      <c r="O74" s="1537" t="str">
        <f t="shared" si="34"/>
        <v>0.00%</v>
      </c>
      <c r="P74" s="492">
        <f t="shared" si="39"/>
        <v>0</v>
      </c>
      <c r="Q74" s="1300"/>
      <c r="S74" s="493" t="str">
        <f t="shared" si="35"/>
        <v>0.00%</v>
      </c>
      <c r="T74" s="492">
        <f t="shared" si="40"/>
        <v>0</v>
      </c>
      <c r="U74" s="881" t="str">
        <f>TEXT('MYP Assumptions'!H72,"0.00%")&amp;", CPI"</f>
        <v>2.73%, CPI</v>
      </c>
      <c r="W74" s="493" t="str">
        <f t="shared" si="36"/>
        <v>0.00%</v>
      </c>
      <c r="X74" s="492">
        <f t="shared" si="41"/>
        <v>0</v>
      </c>
      <c r="Y74" s="881" t="str">
        <f>TEXT('MYP Assumptions'!I72,"0.00%")&amp;", CPI"</f>
        <v>2.73%, CPI</v>
      </c>
      <c r="AA74" s="493" t="str">
        <f t="shared" si="37"/>
        <v>0.00%</v>
      </c>
      <c r="AB74" s="492">
        <f t="shared" si="42"/>
        <v>0</v>
      </c>
      <c r="AC74" s="881" t="str">
        <f>TEXT('MYP Assumptions'!J72,"0.00%")&amp;", CPI"</f>
        <v>2.73%, CPI</v>
      </c>
    </row>
    <row r="75" spans="1:31" x14ac:dyDescent="0.25">
      <c r="A75" s="617"/>
      <c r="B75" s="1282" t="s">
        <v>9</v>
      </c>
      <c r="C75" s="1280" t="s">
        <v>8</v>
      </c>
      <c r="D75" s="492">
        <v>58471.29</v>
      </c>
      <c r="E75" s="1266"/>
      <c r="F75" s="492"/>
      <c r="G75" s="1537">
        <f>IF(D75=0,"0.00%",(H75-D75)/D75)</f>
        <v>5.8069987852157876</v>
      </c>
      <c r="H75" s="492">
        <f>399589-1575</f>
        <v>398014</v>
      </c>
      <c r="I75" s="1271" t="s">
        <v>916</v>
      </c>
      <c r="J75" s="617"/>
      <c r="K75" s="1537">
        <f t="shared" si="33"/>
        <v>-0.91206339475495835</v>
      </c>
      <c r="L75" s="492">
        <v>35000</v>
      </c>
      <c r="M75" s="1271" t="s">
        <v>916</v>
      </c>
      <c r="O75" s="1537">
        <f t="shared" si="34"/>
        <v>0</v>
      </c>
      <c r="P75" s="492">
        <f t="shared" si="39"/>
        <v>35000</v>
      </c>
      <c r="Q75" s="1271" t="s">
        <v>916</v>
      </c>
      <c r="S75" s="493">
        <f t="shared" si="35"/>
        <v>2.7314285714285715E-2</v>
      </c>
      <c r="T75" s="492">
        <f t="shared" si="40"/>
        <v>35956</v>
      </c>
      <c r="U75" s="881" t="str">
        <f>TEXT('MYP Assumptions'!H72,"0.00%")&amp;", CPI"</f>
        <v>2.73%, CPI</v>
      </c>
      <c r="W75" s="493">
        <f t="shared" si="36"/>
        <v>2.7311158082100346E-2</v>
      </c>
      <c r="X75" s="492">
        <f t="shared" si="41"/>
        <v>36938</v>
      </c>
      <c r="Y75" s="881" t="str">
        <f>TEXT('MYP Assumptions'!I72,"0.00%")&amp;", CPI"</f>
        <v>2.73%, CPI</v>
      </c>
      <c r="AA75" s="493">
        <f t="shared" si="37"/>
        <v>2.7288970707672316E-2</v>
      </c>
      <c r="AB75" s="492">
        <f t="shared" si="42"/>
        <v>37946</v>
      </c>
      <c r="AC75" s="881" t="str">
        <f>TEXT('MYP Assumptions'!J72,"0.00%")&amp;", CPI"</f>
        <v>2.73%, CPI</v>
      </c>
    </row>
    <row r="76" spans="1:31" x14ac:dyDescent="0.25">
      <c r="A76" s="617"/>
      <c r="B76" s="1282" t="s">
        <v>122</v>
      </c>
      <c r="C76" s="1280" t="s">
        <v>123</v>
      </c>
      <c r="D76" s="492">
        <v>690</v>
      </c>
      <c r="E76" s="1266"/>
      <c r="F76" s="492"/>
      <c r="G76" s="1537">
        <f t="shared" ref="G76:G82" si="43">IF(D76=0,"0.00%",(H76-D76)/D76)</f>
        <v>-0.6376811594202898</v>
      </c>
      <c r="H76" s="492">
        <v>250</v>
      </c>
      <c r="I76" s="1271"/>
      <c r="J76" s="617"/>
      <c r="K76" s="1537">
        <f t="shared" si="33"/>
        <v>0</v>
      </c>
      <c r="L76" s="492">
        <f>ROUND(H76*(1-$L$58),0)</f>
        <v>250</v>
      </c>
      <c r="M76" s="1271"/>
      <c r="O76" s="1537">
        <f t="shared" si="34"/>
        <v>0</v>
      </c>
      <c r="P76" s="492">
        <f t="shared" si="39"/>
        <v>250</v>
      </c>
      <c r="Q76" s="1271"/>
      <c r="S76" s="493">
        <f t="shared" si="35"/>
        <v>2.8000000000000001E-2</v>
      </c>
      <c r="T76" s="492">
        <f t="shared" si="40"/>
        <v>257</v>
      </c>
      <c r="U76" s="881" t="str">
        <f>TEXT('MYP Assumptions'!H72,"0.00%")&amp;", CPI"</f>
        <v>2.73%, CPI</v>
      </c>
      <c r="W76" s="493">
        <f t="shared" si="36"/>
        <v>2.7237354085603113E-2</v>
      </c>
      <c r="X76" s="492">
        <f t="shared" si="41"/>
        <v>264</v>
      </c>
      <c r="Y76" s="881" t="str">
        <f>TEXT('MYP Assumptions'!I72,"0.00%")&amp;", CPI"</f>
        <v>2.73%, CPI</v>
      </c>
      <c r="AA76" s="493">
        <f t="shared" si="37"/>
        <v>2.6515151515151516E-2</v>
      </c>
      <c r="AB76" s="492">
        <f t="shared" si="42"/>
        <v>271</v>
      </c>
      <c r="AC76" s="881" t="str">
        <f>TEXT('MYP Assumptions'!J72,"0.00%")&amp;", CPI"</f>
        <v>2.73%, CPI</v>
      </c>
    </row>
    <row r="77" spans="1:31" x14ac:dyDescent="0.25">
      <c r="A77" s="617"/>
      <c r="B77" s="1282" t="s">
        <v>7</v>
      </c>
      <c r="C77" s="1280" t="s">
        <v>6</v>
      </c>
      <c r="D77" s="492">
        <v>22651</v>
      </c>
      <c r="E77" s="1266"/>
      <c r="F77" s="492"/>
      <c r="G77" s="1537">
        <f t="shared" si="43"/>
        <v>-0.19429605756920224</v>
      </c>
      <c r="H77" s="492">
        <f>22250-4000</f>
        <v>18250</v>
      </c>
      <c r="I77" s="1271"/>
      <c r="J77" s="617"/>
      <c r="K77" s="1537">
        <f t="shared" si="33"/>
        <v>-0.45205479452054792</v>
      </c>
      <c r="L77" s="492">
        <v>10000</v>
      </c>
      <c r="M77" s="1271"/>
      <c r="O77" s="1537">
        <f t="shared" si="34"/>
        <v>0</v>
      </c>
      <c r="P77" s="492">
        <f t="shared" si="39"/>
        <v>10000</v>
      </c>
      <c r="Q77" s="1271"/>
      <c r="S77" s="493">
        <f t="shared" si="35"/>
        <v>2.7300000000000001E-2</v>
      </c>
      <c r="T77" s="492">
        <f t="shared" si="40"/>
        <v>10273</v>
      </c>
      <c r="U77" s="881" t="str">
        <f>TEXT('MYP Assumptions'!H72,"0.00%")&amp;", CPI"</f>
        <v>2.73%, CPI</v>
      </c>
      <c r="W77" s="493">
        <f t="shared" si="36"/>
        <v>2.7255913559816995E-2</v>
      </c>
      <c r="X77" s="492">
        <f t="shared" si="41"/>
        <v>10553</v>
      </c>
      <c r="Y77" s="881" t="str">
        <f>TEXT('MYP Assumptions'!I72,"0.00%")&amp;", CPI"</f>
        <v>2.73%, CPI</v>
      </c>
      <c r="AA77" s="493">
        <f t="shared" si="37"/>
        <v>2.7290817776935469E-2</v>
      </c>
      <c r="AB77" s="492">
        <f t="shared" si="42"/>
        <v>10841</v>
      </c>
      <c r="AC77" s="881" t="str">
        <f>TEXT('MYP Assumptions'!J72,"0.00%")&amp;", CPI"</f>
        <v>2.73%, CPI</v>
      </c>
    </row>
    <row r="78" spans="1:31" x14ac:dyDescent="0.25">
      <c r="A78" s="617"/>
      <c r="B78" s="1282" t="s">
        <v>5</v>
      </c>
      <c r="C78" s="1280" t="s">
        <v>4</v>
      </c>
      <c r="D78" s="492">
        <v>37783.65</v>
      </c>
      <c r="E78" s="1266"/>
      <c r="F78" s="492"/>
      <c r="G78" s="1537">
        <f t="shared" si="43"/>
        <v>-0.50507693142404186</v>
      </c>
      <c r="H78" s="492">
        <f>30698+13000-23796-1202</f>
        <v>18700</v>
      </c>
      <c r="I78" s="1271" t="s">
        <v>917</v>
      </c>
      <c r="J78" s="617"/>
      <c r="K78" s="1537">
        <f t="shared" si="33"/>
        <v>-0.30481283422459893</v>
      </c>
      <c r="L78" s="492">
        <v>13000</v>
      </c>
      <c r="M78" s="1271" t="s">
        <v>917</v>
      </c>
      <c r="O78" s="1537">
        <f t="shared" si="34"/>
        <v>0</v>
      </c>
      <c r="P78" s="492">
        <f t="shared" si="39"/>
        <v>13000</v>
      </c>
      <c r="Q78" s="1271" t="s">
        <v>917</v>
      </c>
      <c r="S78" s="493">
        <f t="shared" si="35"/>
        <v>2.7307692307692307E-2</v>
      </c>
      <c r="T78" s="492">
        <f t="shared" si="40"/>
        <v>13355</v>
      </c>
      <c r="U78" s="881" t="str">
        <f>TEXT('MYP Assumptions'!H72,"0.00%")&amp;", CPI"</f>
        <v>2.73%, CPI</v>
      </c>
      <c r="W78" s="493">
        <f t="shared" si="36"/>
        <v>2.7330587794833397E-2</v>
      </c>
      <c r="X78" s="492">
        <f t="shared" si="41"/>
        <v>13720</v>
      </c>
      <c r="Y78" s="881" t="str">
        <f>TEXT('MYP Assumptions'!I72,"0.00%")&amp;", CPI"</f>
        <v>2.73%, CPI</v>
      </c>
      <c r="AA78" s="493">
        <f t="shared" si="37"/>
        <v>2.7332361516034985E-2</v>
      </c>
      <c r="AB78" s="492">
        <f t="shared" si="42"/>
        <v>14095</v>
      </c>
      <c r="AC78" s="881" t="str">
        <f>TEXT('MYP Assumptions'!J72,"0.00%")&amp;", CPI"</f>
        <v>2.73%, CPI</v>
      </c>
    </row>
    <row r="79" spans="1:31" x14ac:dyDescent="0.25">
      <c r="A79" s="617"/>
      <c r="B79" s="1282" t="s">
        <v>3</v>
      </c>
      <c r="C79" s="1280" t="s">
        <v>2</v>
      </c>
      <c r="D79" s="492">
        <v>2000</v>
      </c>
      <c r="E79" s="1266"/>
      <c r="F79" s="492"/>
      <c r="G79" s="1537">
        <f t="shared" si="43"/>
        <v>0</v>
      </c>
      <c r="H79" s="492">
        <v>2000</v>
      </c>
      <c r="I79" s="1271"/>
      <c r="J79" s="617"/>
      <c r="K79" s="1537">
        <f t="shared" si="33"/>
        <v>-0.5</v>
      </c>
      <c r="L79" s="492">
        <v>1000</v>
      </c>
      <c r="M79" s="1271"/>
      <c r="O79" s="1537">
        <f t="shared" si="34"/>
        <v>0</v>
      </c>
      <c r="P79" s="492">
        <f t="shared" si="39"/>
        <v>1000</v>
      </c>
      <c r="Q79" s="1509"/>
      <c r="S79" s="493">
        <f t="shared" si="35"/>
        <v>2.7E-2</v>
      </c>
      <c r="T79" s="492">
        <f t="shared" si="40"/>
        <v>1027</v>
      </c>
      <c r="U79" s="881" t="str">
        <f>TEXT('MYP Assumptions'!H72,"0.00%")&amp;", CPI"</f>
        <v>2.73%, CPI</v>
      </c>
      <c r="W79" s="493">
        <f t="shared" si="36"/>
        <v>2.7263875365141188E-2</v>
      </c>
      <c r="X79" s="492">
        <f t="shared" si="41"/>
        <v>1055</v>
      </c>
      <c r="Y79" s="881" t="str">
        <f>TEXT('MYP Assumptions'!I72,"0.00%")&amp;", CPI"</f>
        <v>2.73%, CPI</v>
      </c>
      <c r="AA79" s="493">
        <f t="shared" si="37"/>
        <v>2.7488151658767772E-2</v>
      </c>
      <c r="AB79" s="492">
        <f t="shared" si="42"/>
        <v>1084</v>
      </c>
      <c r="AC79" s="881" t="str">
        <f>TEXT('MYP Assumptions'!J72,"0.00%")&amp;", CPI"</f>
        <v>2.73%, CPI</v>
      </c>
    </row>
    <row r="80" spans="1:31" x14ac:dyDescent="0.25">
      <c r="A80" s="617"/>
      <c r="B80" s="1282" t="s">
        <v>124</v>
      </c>
      <c r="C80" s="1280" t="s">
        <v>125</v>
      </c>
      <c r="D80" s="492">
        <v>3383.42</v>
      </c>
      <c r="E80" s="1266"/>
      <c r="F80" s="492"/>
      <c r="G80" s="1537">
        <f t="shared" si="43"/>
        <v>-1</v>
      </c>
      <c r="H80" s="492">
        <v>0</v>
      </c>
      <c r="I80" s="1271"/>
      <c r="J80" s="617"/>
      <c r="K80" s="1537" t="str">
        <f t="shared" si="33"/>
        <v>0.00%</v>
      </c>
      <c r="L80" s="492">
        <f>ROUND(H80*(1-$L$58),0)</f>
        <v>0</v>
      </c>
      <c r="M80" s="1271"/>
      <c r="O80" s="1537" t="str">
        <f t="shared" si="34"/>
        <v>0.00%</v>
      </c>
      <c r="P80" s="492">
        <f t="shared" si="39"/>
        <v>0</v>
      </c>
      <c r="Q80" s="1300"/>
      <c r="S80" s="493" t="str">
        <f t="shared" si="35"/>
        <v>0.00%</v>
      </c>
      <c r="T80" s="492">
        <f t="shared" si="40"/>
        <v>0</v>
      </c>
      <c r="U80" s="881" t="str">
        <f>TEXT('MYP Assumptions'!H72,"0.00%")&amp;", CPI"</f>
        <v>2.73%, CPI</v>
      </c>
      <c r="W80" s="493" t="str">
        <f t="shared" si="36"/>
        <v>0.00%</v>
      </c>
      <c r="X80" s="492">
        <f t="shared" si="41"/>
        <v>0</v>
      </c>
      <c r="Y80" s="881" t="str">
        <f>TEXT('MYP Assumptions'!I72,"0.00%")&amp;", CPI"</f>
        <v>2.73%, CPI</v>
      </c>
      <c r="AA80" s="493" t="str">
        <f t="shared" si="37"/>
        <v>0.00%</v>
      </c>
      <c r="AB80" s="492">
        <f t="shared" si="42"/>
        <v>0</v>
      </c>
      <c r="AC80" s="881" t="str">
        <f>TEXT('MYP Assumptions'!J72,"0.00%")&amp;", CPI"</f>
        <v>2.73%, CPI</v>
      </c>
    </row>
    <row r="81" spans="1:29" x14ac:dyDescent="0.25">
      <c r="A81" s="617"/>
      <c r="B81" s="1282"/>
      <c r="C81" s="1280"/>
      <c r="E81" s="1266"/>
      <c r="F81" s="492"/>
      <c r="G81" s="1537"/>
      <c r="H81" s="492"/>
      <c r="I81" s="1271"/>
      <c r="J81" s="617"/>
      <c r="K81" s="1537"/>
      <c r="L81" s="492"/>
      <c r="M81" s="1271"/>
      <c r="O81" s="1537"/>
      <c r="Q81" s="1509"/>
      <c r="S81" s="493"/>
      <c r="T81" s="492"/>
      <c r="U81" s="881"/>
      <c r="W81" s="493"/>
      <c r="X81" s="492"/>
      <c r="Y81" s="881"/>
      <c r="AA81" s="493"/>
      <c r="AB81" s="492"/>
      <c r="AC81" s="881"/>
    </row>
    <row r="82" spans="1:29" x14ac:dyDescent="0.25">
      <c r="A82" s="621"/>
      <c r="D82" s="859">
        <f>SUM(D69:D81)</f>
        <v>303687.59000000003</v>
      </c>
      <c r="E82" s="1266"/>
      <c r="F82" s="492"/>
      <c r="G82" s="1537">
        <f t="shared" si="43"/>
        <v>1.0744212827399366</v>
      </c>
      <c r="H82" s="859">
        <f>SUM(H69:H81)</f>
        <v>629976</v>
      </c>
      <c r="I82" s="1882">
        <f>+H82-D82</f>
        <v>326288.40999999997</v>
      </c>
      <c r="J82" s="621"/>
      <c r="K82" s="1537">
        <f t="shared" si="33"/>
        <v>-0.87928111547106558</v>
      </c>
      <c r="L82" s="859">
        <f>SUM(L69:L81)</f>
        <v>76050</v>
      </c>
      <c r="M82" s="1882">
        <f>+L82-H82</f>
        <v>-553926</v>
      </c>
      <c r="O82" s="1537">
        <f t="shared" si="34"/>
        <v>-6.5746219592373437E-2</v>
      </c>
      <c r="P82" s="859">
        <f>SUM(P69:P81)</f>
        <v>71050</v>
      </c>
      <c r="Q82" s="1882">
        <f>+P82-L82</f>
        <v>-5000</v>
      </c>
      <c r="S82" s="493">
        <f t="shared" si="35"/>
        <v>2.7304714989444052E-2</v>
      </c>
      <c r="T82" s="859">
        <f>SUM(T69:T81)</f>
        <v>72990</v>
      </c>
      <c r="U82" s="846"/>
      <c r="W82" s="493">
        <f t="shared" si="36"/>
        <v>2.7291409782161938E-2</v>
      </c>
      <c r="X82" s="859">
        <f>SUM(X69:X81)</f>
        <v>74982</v>
      </c>
      <c r="Y82" s="846"/>
      <c r="AA82" s="493">
        <f t="shared" si="37"/>
        <v>2.7299885305806727E-2</v>
      </c>
      <c r="AB82" s="859">
        <f>SUM(AB69:AB81)</f>
        <v>77029</v>
      </c>
      <c r="AC82" s="846"/>
    </row>
    <row r="83" spans="1:29" x14ac:dyDescent="0.25">
      <c r="A83" s="617"/>
      <c r="B83" s="1279"/>
      <c r="E83" s="1266"/>
      <c r="F83" s="492"/>
      <c r="G83" s="1537"/>
      <c r="H83" s="492"/>
      <c r="I83" s="1271"/>
      <c r="J83" s="617"/>
      <c r="L83" s="492"/>
      <c r="M83" s="1300"/>
      <c r="Q83" s="1300"/>
      <c r="T83" s="492"/>
      <c r="U83" s="846"/>
      <c r="X83" s="492"/>
      <c r="Y83" s="846"/>
      <c r="AB83" s="492"/>
      <c r="AC83" s="846"/>
    </row>
    <row r="84" spans="1:29" x14ac:dyDescent="0.25">
      <c r="A84" s="617"/>
      <c r="E84" s="1266"/>
      <c r="F84" s="492"/>
      <c r="H84" s="492"/>
      <c r="I84" s="1271"/>
      <c r="J84" s="617"/>
      <c r="L84" s="492"/>
      <c r="M84" s="1300"/>
      <c r="Q84" s="1310"/>
      <c r="T84" s="492"/>
      <c r="U84" s="846"/>
      <c r="X84" s="492"/>
      <c r="Y84" s="846"/>
      <c r="AB84" s="492"/>
      <c r="AC84" s="846"/>
    </row>
    <row r="85" spans="1:29" x14ac:dyDescent="0.25">
      <c r="A85" s="621"/>
      <c r="B85" s="1279" t="str">
        <f>'2016-17  RS 3010-DO &amp; All Sites'!AD85</f>
        <v>TOTAL EXPENDITURES</v>
      </c>
      <c r="D85" s="859">
        <f>SUM(D82,D66,D55,D14)</f>
        <v>2425454.63</v>
      </c>
      <c r="E85" s="1266"/>
      <c r="F85" s="492"/>
      <c r="G85" s="1537">
        <f>IF(D85=0,"0.00%",(H85-D85)/D85)</f>
        <v>-2.5170798597869418E-2</v>
      </c>
      <c r="H85" s="859">
        <f>SUM(H82,H66,H55,H14)</f>
        <v>2364404</v>
      </c>
      <c r="I85" s="1882">
        <f>+H85-D85</f>
        <v>-61050.629999999888</v>
      </c>
      <c r="J85" s="621"/>
      <c r="K85" s="1537">
        <f>IF(H85=0,"0.00%",(L85-H85)/H85)</f>
        <v>-0.23694427855814826</v>
      </c>
      <c r="L85" s="859">
        <f>SUM(L82,L66,L55,L14)</f>
        <v>1804172</v>
      </c>
      <c r="M85" s="1882">
        <f>+L85-H85</f>
        <v>-560232</v>
      </c>
      <c r="O85" s="1537">
        <f>IF(L85=0,"0.00%",(P85-L85)/L85)</f>
        <v>2.3499976720623088E-2</v>
      </c>
      <c r="P85" s="859">
        <f>SUM(P82,P66,P55,P14)</f>
        <v>1846570</v>
      </c>
      <c r="Q85" s="1882">
        <f>+P85-L85</f>
        <v>42398</v>
      </c>
      <c r="S85" s="493">
        <f>IF(P85=0,"0.00%",(T85-P85)/P85)</f>
        <v>6.9171490926420338E-3</v>
      </c>
      <c r="T85" s="859">
        <f>SUM(T82,T66,T55,T14)</f>
        <v>1859343</v>
      </c>
      <c r="U85" s="846"/>
      <c r="W85" s="493">
        <f>IF(T85=0,"0.00%",(X85-T85)/T85)</f>
        <v>2.4344620653639484E-2</v>
      </c>
      <c r="X85" s="859">
        <f>SUM(X82,X66,X55,X14)</f>
        <v>1904608</v>
      </c>
      <c r="Y85" s="846"/>
      <c r="AA85" s="493">
        <f>IF(X85=0,"0.00%",(AB85-X85)/X85)</f>
        <v>1.9482224163712428E-2</v>
      </c>
      <c r="AB85" s="859">
        <f>SUM(AB82,AB66,AB55,AB14)</f>
        <v>1941714</v>
      </c>
      <c r="AC85" s="846"/>
    </row>
    <row r="86" spans="1:29" x14ac:dyDescent="0.25">
      <c r="A86" s="617"/>
      <c r="E86" s="1266"/>
      <c r="F86" s="492"/>
      <c r="H86" s="492"/>
      <c r="I86" s="1271"/>
      <c r="J86" s="617"/>
      <c r="L86" s="492"/>
      <c r="M86" s="1300"/>
      <c r="Q86" s="1310"/>
      <c r="T86" s="492"/>
      <c r="U86" s="846"/>
      <c r="X86" s="492"/>
      <c r="Y86" s="846"/>
      <c r="AB86" s="492"/>
      <c r="AC86" s="846"/>
    </row>
    <row r="87" spans="1:29" x14ac:dyDescent="0.25">
      <c r="A87" s="617"/>
      <c r="B87" s="1279" t="str">
        <f>'2016-17  RS 3010-DO &amp; All Sites'!AD87</f>
        <v>NET INCRS/DCRS TO FB</v>
      </c>
      <c r="D87" s="494">
        <f>D12-D85</f>
        <v>0</v>
      </c>
      <c r="G87" s="1537" t="str">
        <f>IF(D87=0,"0.00%",(H87-D87)/D87)</f>
        <v>0.00%</v>
      </c>
      <c r="H87" s="494">
        <f>H12-H85</f>
        <v>0</v>
      </c>
      <c r="I87" s="1271"/>
      <c r="J87" s="617"/>
      <c r="K87" s="1537" t="str">
        <f>IF(H87=0,"0.00%",(L87-H87)/H87)</f>
        <v>0.00%</v>
      </c>
      <c r="L87" s="494">
        <f>L12-L85</f>
        <v>0</v>
      </c>
      <c r="M87" s="1300"/>
      <c r="O87" s="1537" t="str">
        <f>IF(L87=0,"0.00%",(P87-L87)/L87)</f>
        <v>0.00%</v>
      </c>
      <c r="P87" s="494">
        <f>P12-P85</f>
        <v>0</v>
      </c>
      <c r="Q87" s="1310"/>
      <c r="S87" s="493" t="str">
        <f>IF(P87=0,"0.00%",(T87-P87)/P87)</f>
        <v>0.00%</v>
      </c>
      <c r="T87" s="494">
        <f>T12-T85</f>
        <v>-12773</v>
      </c>
      <c r="U87" s="846"/>
      <c r="W87" s="493">
        <f>IF(T87=0,"0.00%",(X87-T87)/T87)</f>
        <v>3.5438033351601033</v>
      </c>
      <c r="X87" s="494">
        <f>X12-X85</f>
        <v>-58038</v>
      </c>
      <c r="Y87" s="846"/>
      <c r="AA87" s="493">
        <f>IF(X87=0,"0.00%",(AB87-X87)/X87)</f>
        <v>0.63933974292704776</v>
      </c>
      <c r="AB87" s="494">
        <f>AB12-AB85</f>
        <v>-95144</v>
      </c>
      <c r="AC87" s="846"/>
    </row>
    <row r="88" spans="1:29" x14ac:dyDescent="0.25">
      <c r="B88" s="1279"/>
      <c r="C88" s="1273"/>
      <c r="D88" s="494"/>
      <c r="H88" s="494"/>
      <c r="I88" s="1271"/>
      <c r="J88" s="617"/>
      <c r="L88" s="494"/>
      <c r="M88" s="1300"/>
      <c r="P88" s="494"/>
      <c r="Q88" s="1310"/>
      <c r="T88" s="864"/>
      <c r="U88" s="846"/>
      <c r="X88" s="864"/>
      <c r="Y88" s="846"/>
      <c r="AB88" s="864"/>
      <c r="AC88" s="846"/>
    </row>
    <row r="89" spans="1:29" x14ac:dyDescent="0.25">
      <c r="B89" s="1279" t="str">
        <f>'2016-17  RS 3010-DO &amp; All Sites'!AD89</f>
        <v>ENDING FUND BALANCE</v>
      </c>
      <c r="C89" s="1275"/>
      <c r="D89" s="494">
        <f>D8+D87</f>
        <v>0</v>
      </c>
      <c r="G89" s="1537" t="str">
        <f>IF(D89=0,"0.00%",(H89-D89)/D89)</f>
        <v>0.00%</v>
      </c>
      <c r="H89" s="494">
        <f>H8+H87</f>
        <v>0</v>
      </c>
      <c r="I89" s="1295"/>
      <c r="J89" s="617"/>
      <c r="K89" s="1537" t="str">
        <f>IF(H89=0,"0.00%",(L89-H89)/H89)</f>
        <v>0.00%</v>
      </c>
      <c r="L89" s="494">
        <f>L8+L87</f>
        <v>0</v>
      </c>
      <c r="M89" s="1300"/>
      <c r="O89" s="1537" t="str">
        <f>IF(L89=0,"0.00%",(P89-L89)/L89)</f>
        <v>0.00%</v>
      </c>
      <c r="P89" s="494">
        <f>P8+P87</f>
        <v>0</v>
      </c>
      <c r="Q89" s="1310"/>
      <c r="S89" s="493" t="str">
        <f>IF(P89=0,"0.00%",(T89-P89)/P89)</f>
        <v>0.00%</v>
      </c>
      <c r="T89" s="870">
        <f>T8+T87</f>
        <v>-12773</v>
      </c>
      <c r="U89" s="846"/>
      <c r="W89" s="493">
        <f>IF(T89=0,"0.00%",(X89-T89)/T89)</f>
        <v>4.5438033351601037</v>
      </c>
      <c r="X89" s="870">
        <f>X8+X87</f>
        <v>-70811</v>
      </c>
      <c r="Y89" s="846"/>
      <c r="AA89" s="493">
        <f>IF(X89=0,"0.00%",(AB89-X89)/X89)</f>
        <v>1.3436330513620764</v>
      </c>
      <c r="AB89" s="870">
        <f>AB8+AB87</f>
        <v>-165955</v>
      </c>
      <c r="AC89" s="846"/>
    </row>
    <row r="90" spans="1:29" x14ac:dyDescent="0.25">
      <c r="C90" s="1283"/>
      <c r="G90" s="1566"/>
      <c r="H90" s="886"/>
      <c r="I90" s="1294"/>
      <c r="J90" s="621"/>
      <c r="L90" s="886"/>
      <c r="M90" s="1300"/>
      <c r="P90" s="886"/>
      <c r="Q90" s="1310"/>
      <c r="T90" s="886"/>
      <c r="U90" s="846"/>
      <c r="X90" s="886"/>
      <c r="Y90" s="846"/>
      <c r="AB90" s="886"/>
      <c r="AC90" s="846"/>
    </row>
    <row r="91" spans="1:29" x14ac:dyDescent="0.25">
      <c r="C91" s="1272"/>
      <c r="G91" s="1566"/>
      <c r="H91" s="880"/>
      <c r="I91" s="1271"/>
      <c r="J91" s="617"/>
      <c r="L91" s="492"/>
      <c r="M91" s="1300"/>
      <c r="Q91" s="1310"/>
      <c r="T91" s="492"/>
      <c r="U91" s="846"/>
      <c r="X91" s="492"/>
      <c r="Y91" s="846"/>
      <c r="AB91" s="492"/>
      <c r="AC91" s="846"/>
    </row>
    <row r="92" spans="1:29" x14ac:dyDescent="0.25">
      <c r="C92" s="1272"/>
      <c r="G92" s="1566"/>
      <c r="H92" s="880"/>
      <c r="I92" s="1271"/>
      <c r="J92" s="617"/>
      <c r="L92" s="492"/>
      <c r="M92" s="1300"/>
      <c r="Q92" s="1310"/>
      <c r="T92" s="492"/>
      <c r="U92" s="846"/>
      <c r="X92" s="492"/>
      <c r="Y92" s="846"/>
      <c r="AB92" s="492"/>
      <c r="AC92" s="846"/>
    </row>
    <row r="93" spans="1:29" x14ac:dyDescent="0.25">
      <c r="C93" s="1272"/>
      <c r="G93" s="1566"/>
      <c r="H93" s="880"/>
      <c r="I93" s="1271"/>
      <c r="J93" s="617"/>
      <c r="L93" s="492"/>
      <c r="M93" s="1300"/>
      <c r="Q93" s="1310"/>
      <c r="T93" s="492"/>
      <c r="U93" s="846"/>
      <c r="X93" s="492"/>
      <c r="Y93" s="846"/>
      <c r="AB93" s="492"/>
      <c r="AC93" s="846"/>
    </row>
    <row r="94" spans="1:29" x14ac:dyDescent="0.25">
      <c r="C94" s="1272"/>
      <c r="G94" s="1566"/>
      <c r="H94" s="880"/>
      <c r="I94" s="1271"/>
      <c r="J94" s="617"/>
      <c r="L94" s="492"/>
      <c r="M94" s="1300"/>
      <c r="Q94" s="1310"/>
      <c r="T94" s="492"/>
      <c r="U94" s="846"/>
      <c r="X94" s="492"/>
      <c r="Y94" s="846"/>
      <c r="AB94" s="492"/>
      <c r="AC94" s="846"/>
    </row>
    <row r="95" spans="1:29" s="892" customFormat="1" ht="11.25" x14ac:dyDescent="0.2">
      <c r="A95" s="887"/>
      <c r="B95" s="1284"/>
      <c r="C95" s="1285" t="s">
        <v>226</v>
      </c>
      <c r="D95" s="888">
        <f>+D82+D66+D53+D41+D30</f>
        <v>2328032.63</v>
      </c>
      <c r="E95" s="1269"/>
      <c r="F95" s="889"/>
      <c r="G95" s="1567" t="s">
        <v>226</v>
      </c>
      <c r="H95" s="888">
        <f>+H82+H66+H53+H41+H30</f>
        <v>2263887</v>
      </c>
      <c r="I95" s="1296"/>
      <c r="J95" s="891"/>
      <c r="K95" s="1567" t="s">
        <v>226</v>
      </c>
      <c r="L95" s="888">
        <f>+L82+L66+L53+L41+L30</f>
        <v>1727472</v>
      </c>
      <c r="M95" s="1306"/>
      <c r="O95" s="1567" t="s">
        <v>226</v>
      </c>
      <c r="P95" s="893">
        <f>+P82+P66+P53+P41+P30</f>
        <v>1768068</v>
      </c>
      <c r="Q95" s="1313"/>
      <c r="R95" s="894"/>
      <c r="S95" s="890" t="s">
        <v>226</v>
      </c>
      <c r="T95" s="888">
        <f>+T82+T66+T53+T41+T30</f>
        <v>1793458</v>
      </c>
      <c r="U95" s="895"/>
      <c r="W95" s="890" t="s">
        <v>226</v>
      </c>
      <c r="X95" s="888">
        <f>+X82+X66+X53+X41+X30</f>
        <v>1838723</v>
      </c>
      <c r="Y95" s="895"/>
      <c r="AA95" s="890" t="s">
        <v>226</v>
      </c>
      <c r="AB95" s="888">
        <f>+AB82+AB66+AB53+AB41+AB30</f>
        <v>1884857</v>
      </c>
      <c r="AC95" s="895"/>
    </row>
    <row r="96" spans="1:29" s="892" customFormat="1" ht="11.25" x14ac:dyDescent="0.2">
      <c r="A96" s="896"/>
      <c r="B96" s="1284"/>
      <c r="C96" s="1286" t="s">
        <v>227</v>
      </c>
      <c r="D96" s="897">
        <f>+D14</f>
        <v>97422</v>
      </c>
      <c r="E96" s="1270"/>
      <c r="F96" s="898"/>
      <c r="G96" s="1568" t="s">
        <v>227</v>
      </c>
      <c r="H96" s="897">
        <f>+H14</f>
        <v>100517</v>
      </c>
      <c r="I96" s="1269"/>
      <c r="J96" s="899"/>
      <c r="K96" s="1568" t="s">
        <v>227</v>
      </c>
      <c r="L96" s="897">
        <f>+L14</f>
        <v>76700</v>
      </c>
      <c r="M96" s="1306"/>
      <c r="O96" s="1568" t="s">
        <v>227</v>
      </c>
      <c r="P96" s="900">
        <f>+P14</f>
        <v>78502</v>
      </c>
      <c r="Q96" s="1314"/>
      <c r="R96" s="894"/>
      <c r="S96" s="901" t="s">
        <v>227</v>
      </c>
      <c r="T96" s="897">
        <f>+T14</f>
        <v>65885</v>
      </c>
      <c r="W96" s="901" t="s">
        <v>227</v>
      </c>
      <c r="X96" s="897">
        <f>+X14</f>
        <v>65885</v>
      </c>
      <c r="AA96" s="901" t="s">
        <v>227</v>
      </c>
      <c r="AB96" s="897">
        <f>+AB14</f>
        <v>56857</v>
      </c>
    </row>
    <row r="97" spans="1:28" s="892" customFormat="1" ht="11.25" x14ac:dyDescent="0.2">
      <c r="A97" s="896"/>
      <c r="B97" s="1284"/>
      <c r="C97" s="1286"/>
      <c r="D97" s="902">
        <f>+D95+D96</f>
        <v>2425454.63</v>
      </c>
      <c r="E97" s="1270"/>
      <c r="F97" s="898"/>
      <c r="G97" s="1568"/>
      <c r="H97" s="902">
        <f>+H95+H96</f>
        <v>2364404</v>
      </c>
      <c r="I97" s="1269"/>
      <c r="J97" s="899"/>
      <c r="K97" s="1568"/>
      <c r="L97" s="902">
        <f>+L95+L96</f>
        <v>1804172</v>
      </c>
      <c r="M97" s="1307"/>
      <c r="O97" s="1585"/>
      <c r="P97" s="903">
        <f>+P95+P96</f>
        <v>1846570</v>
      </c>
      <c r="Q97" s="1314"/>
      <c r="R97" s="894"/>
      <c r="S97" s="901"/>
      <c r="T97" s="902">
        <f>+T95+T96</f>
        <v>1859343</v>
      </c>
      <c r="W97" s="901"/>
      <c r="X97" s="902">
        <f>+X95+X96</f>
        <v>1904608</v>
      </c>
      <c r="AA97" s="901"/>
      <c r="AB97" s="902">
        <f>+AB95+AB96</f>
        <v>1941714</v>
      </c>
    </row>
    <row r="98" spans="1:28" ht="15" customHeight="1" x14ac:dyDescent="0.25">
      <c r="A98" s="617"/>
      <c r="B98" s="1287"/>
      <c r="C98" s="1282"/>
      <c r="D98" s="904">
        <f>+D85-D97</f>
        <v>0</v>
      </c>
      <c r="E98" s="1271"/>
      <c r="F98" s="880"/>
      <c r="H98" s="904">
        <f>+H85-H97</f>
        <v>0</v>
      </c>
      <c r="K98" s="1562"/>
      <c r="L98" s="904">
        <f>+L85-L97</f>
        <v>0</v>
      </c>
      <c r="P98" s="492">
        <f>+P85-P97</f>
        <v>0</v>
      </c>
      <c r="S98" s="863"/>
      <c r="T98" s="904">
        <f>+T85-T97</f>
        <v>0</v>
      </c>
      <c r="X98" s="904">
        <f>+X85-X97</f>
        <v>0</v>
      </c>
      <c r="AB98" s="904">
        <f>+AB85-AB97</f>
        <v>0</v>
      </c>
    </row>
    <row r="99" spans="1:28" x14ac:dyDescent="0.25">
      <c r="A99" s="617"/>
      <c r="B99" s="1287"/>
      <c r="C99" s="1287"/>
      <c r="D99" s="880"/>
      <c r="E99" s="1271"/>
      <c r="F99" s="880"/>
    </row>
    <row r="100" spans="1:28" x14ac:dyDescent="0.25">
      <c r="A100" s="617"/>
      <c r="B100" s="1275"/>
      <c r="C100" s="1272"/>
      <c r="D100" s="905"/>
      <c r="E100" s="1271"/>
      <c r="F100" s="880"/>
    </row>
    <row r="101" spans="1:28" x14ac:dyDescent="0.25">
      <c r="B101" s="1275"/>
      <c r="C101" s="1272"/>
      <c r="D101" s="880"/>
      <c r="E101" s="1272"/>
      <c r="F101" s="844"/>
    </row>
    <row r="102" spans="1:28" x14ac:dyDescent="0.25">
      <c r="B102" s="1275"/>
      <c r="C102" s="1272"/>
      <c r="D102" s="880"/>
      <c r="E102" s="1272"/>
      <c r="F102" s="844"/>
    </row>
    <row r="103" spans="1:28" ht="15" customHeight="1" x14ac:dyDescent="0.25">
      <c r="B103" s="1275"/>
      <c r="C103" s="1272"/>
      <c r="D103" s="880"/>
      <c r="E103" s="1272"/>
      <c r="F103" s="844"/>
    </row>
    <row r="104" spans="1:28" x14ac:dyDescent="0.25">
      <c r="B104" s="1275"/>
      <c r="C104" s="1272"/>
      <c r="D104" s="880"/>
      <c r="E104" s="1272"/>
      <c r="F104" s="844"/>
    </row>
    <row r="105" spans="1:28" x14ac:dyDescent="0.25">
      <c r="B105" s="1275"/>
      <c r="C105" s="1272"/>
      <c r="D105" s="880"/>
      <c r="E105" s="1272"/>
      <c r="F105" s="844"/>
    </row>
    <row r="106" spans="1:28" ht="15" customHeight="1" x14ac:dyDescent="0.25">
      <c r="B106" s="2157"/>
      <c r="C106" s="2157"/>
      <c r="D106" s="880"/>
      <c r="E106" s="1272"/>
      <c r="F106" s="844"/>
    </row>
    <row r="107" spans="1:28" x14ac:dyDescent="0.25">
      <c r="B107" s="2157"/>
      <c r="C107" s="2157"/>
      <c r="D107" s="880"/>
      <c r="E107" s="1272"/>
      <c r="F107" s="844"/>
    </row>
    <row r="108" spans="1:28" x14ac:dyDescent="0.25">
      <c r="B108" s="1275"/>
      <c r="C108" s="1272"/>
      <c r="D108" s="882"/>
      <c r="E108" s="1272"/>
      <c r="F108" s="844"/>
    </row>
    <row r="109" spans="1:28" x14ac:dyDescent="0.25">
      <c r="B109" s="1275"/>
      <c r="C109" s="1272"/>
      <c r="D109" s="880"/>
      <c r="E109" s="1272"/>
      <c r="F109" s="844"/>
    </row>
    <row r="110" spans="1:28" x14ac:dyDescent="0.25">
      <c r="B110" s="1275"/>
      <c r="C110" s="1272"/>
      <c r="D110" s="880"/>
      <c r="E110" s="1272"/>
      <c r="F110" s="844"/>
    </row>
    <row r="111" spans="1:28" ht="28.5" customHeight="1" x14ac:dyDescent="0.25">
      <c r="B111" s="1275"/>
      <c r="C111" s="1272"/>
      <c r="D111" s="905"/>
      <c r="E111" s="1272"/>
      <c r="F111" s="844"/>
    </row>
  </sheetData>
  <mergeCells count="1">
    <mergeCell ref="B106:C107"/>
  </mergeCells>
  <pageMargins left="0.25" right="0.25" top="0.5" bottom="0.5" header="0.25" footer="0.25"/>
  <pageSetup paperSize="5" scale="37" orientation="portrait" r:id="rId1"/>
  <headerFooter>
    <oddHeader>&amp;L&amp;F</oddHeader>
    <oddFooter>&amp;R&amp;A</oddFooter>
  </headerFooter>
  <ignoredErrors>
    <ignoredError sqref="J26:K26 J25:M2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5"/>
  <sheetViews>
    <sheetView zoomScaleNormal="100" workbookViewId="0">
      <pane xSplit="3" ySplit="6" topLeftCell="D43"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56" customWidth="1"/>
    <col min="2" max="2" width="8.5703125" style="1317" customWidth="1"/>
    <col min="3" max="3" width="21.7109375" style="1243" customWidth="1"/>
    <col min="4" max="4" width="16" style="2" customWidth="1"/>
    <col min="5" max="5" width="22" style="1243" bestFit="1"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10.140625" style="1550"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9.85546875" style="1243" bestFit="1" customWidth="1"/>
    <col min="18" max="18" width="5.7109375" style="109" customWidth="1"/>
    <col min="19" max="19" width="1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178</v>
      </c>
      <c r="D1" s="97">
        <v>210664</v>
      </c>
      <c r="E1" s="1241" t="s">
        <v>218</v>
      </c>
      <c r="F1" s="98"/>
      <c r="G1" s="1527">
        <f>IF(D1=0,"0.00%",(H1-D1)/D1)</f>
        <v>0.39881992177116166</v>
      </c>
      <c r="H1" s="99">
        <v>294681</v>
      </c>
      <c r="I1" s="1243" t="s">
        <v>216</v>
      </c>
      <c r="L1" s="123">
        <f>ROUND(+D1*(1+'MYP Assumptions'!F44),0)</f>
        <v>215193</v>
      </c>
      <c r="M1" s="1241" t="s">
        <v>228</v>
      </c>
      <c r="P1" s="123">
        <f>ROUND(L1*(1+'MYP Assumptions'!G44),0)</f>
        <v>220250</v>
      </c>
      <c r="Q1" s="1241" t="s">
        <v>912</v>
      </c>
      <c r="T1" s="86">
        <f>P1</f>
        <v>220250</v>
      </c>
      <c r="U1" s="98"/>
      <c r="X1" s="86">
        <f>T1</f>
        <v>220250</v>
      </c>
      <c r="Y1" s="98"/>
      <c r="AB1" s="86">
        <f>X1</f>
        <v>220250</v>
      </c>
      <c r="AC1" s="98"/>
    </row>
    <row r="2" spans="1:29" ht="17.25" x14ac:dyDescent="0.4">
      <c r="B2" s="1319" t="s">
        <v>59</v>
      </c>
      <c r="C2" s="1320">
        <v>4035</v>
      </c>
      <c r="D2" s="99">
        <v>-1081.22</v>
      </c>
      <c r="E2" s="1241" t="s">
        <v>217</v>
      </c>
      <c r="F2" s="98"/>
      <c r="G2" s="1534"/>
      <c r="H2" s="99">
        <v>-58251</v>
      </c>
      <c r="I2" s="1241" t="s">
        <v>220</v>
      </c>
      <c r="L2" s="123">
        <f>-H2</f>
        <v>58251</v>
      </c>
      <c r="M2" s="1241" t="s">
        <v>221</v>
      </c>
      <c r="P2" s="123">
        <f>-L3</f>
        <v>19638</v>
      </c>
      <c r="Q2" s="1241" t="s">
        <v>221</v>
      </c>
      <c r="T2" s="87">
        <v>0</v>
      </c>
      <c r="U2" s="98"/>
      <c r="X2" s="87">
        <v>0</v>
      </c>
      <c r="Y2" s="98"/>
      <c r="AB2" s="87">
        <v>0</v>
      </c>
      <c r="AC2" s="98"/>
    </row>
    <row r="3" spans="1:29" ht="17.25" x14ac:dyDescent="0.4">
      <c r="D3" s="425">
        <f>+SUM(D1:D2)</f>
        <v>209582.78</v>
      </c>
      <c r="E3" s="1242"/>
      <c r="F3" s="100"/>
      <c r="G3" s="1527"/>
      <c r="H3" s="425">
        <f>+SUM(H1:H2)</f>
        <v>236430</v>
      </c>
      <c r="I3" s="1253"/>
      <c r="L3" s="87">
        <f>-273444+253806</f>
        <v>-19638</v>
      </c>
      <c r="M3" s="1254" t="s">
        <v>222</v>
      </c>
      <c r="P3" s="87">
        <v>0</v>
      </c>
      <c r="Q3" s="1254" t="s">
        <v>222</v>
      </c>
      <c r="T3" s="86">
        <f>SUM(T1:T2)</f>
        <v>220250</v>
      </c>
      <c r="U3" s="51"/>
      <c r="X3" s="86">
        <f>SUM(X1:X2)</f>
        <v>220250</v>
      </c>
      <c r="Y3" s="51"/>
      <c r="AB3" s="86">
        <f>SUM(AB1:AB2)</f>
        <v>220250</v>
      </c>
      <c r="AC3" s="51"/>
    </row>
    <row r="4" spans="1:29" x14ac:dyDescent="0.25">
      <c r="L4" s="123">
        <f>SUM(L1:L3)</f>
        <v>253806</v>
      </c>
      <c r="M4" s="1254"/>
      <c r="P4" s="123">
        <f>SUM(P1:P3)</f>
        <v>239888</v>
      </c>
      <c r="Q4" s="1254"/>
      <c r="T4" s="86"/>
      <c r="U4" s="51"/>
      <c r="X4" s="86"/>
      <c r="Y4" s="51"/>
      <c r="AB4" s="86"/>
      <c r="AC4" s="51"/>
    </row>
    <row r="5" spans="1:29" ht="15.75" x14ac:dyDescent="0.25">
      <c r="B5" s="1321" t="s">
        <v>56</v>
      </c>
      <c r="P5" s="124"/>
      <c r="T5" s="73"/>
      <c r="X5" s="73"/>
      <c r="AB5" s="73"/>
    </row>
    <row r="6" spans="1:29" s="89" customFormat="1" ht="15.75" x14ac:dyDescent="0.25">
      <c r="A6" s="8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H7" s="2">
        <f>D88</f>
        <v>0</v>
      </c>
      <c r="I7" s="1243"/>
      <c r="J7" s="60"/>
      <c r="L7" s="2">
        <f>H88</f>
        <v>0</v>
      </c>
      <c r="P7" s="2">
        <f>L88</f>
        <v>0</v>
      </c>
      <c r="T7" s="2">
        <f>P88</f>
        <v>0</v>
      </c>
      <c r="X7" s="2">
        <f>T88</f>
        <v>-65424</v>
      </c>
      <c r="AB7" s="2">
        <f>X88</f>
        <v>-117573</v>
      </c>
    </row>
    <row r="8" spans="1:29" x14ac:dyDescent="0.25">
      <c r="H8" s="2"/>
      <c r="I8" s="1243"/>
      <c r="L8" s="2"/>
    </row>
    <row r="9" spans="1:29" x14ac:dyDescent="0.25">
      <c r="B9" s="1317" t="s">
        <v>52</v>
      </c>
      <c r="C9" s="1243" t="s">
        <v>53</v>
      </c>
      <c r="D9" s="2">
        <v>210664</v>
      </c>
      <c r="E9" s="1243" t="s">
        <v>213</v>
      </c>
      <c r="G9" s="1527">
        <f>IF(D9=0,"0.00%",(H9-D9)/D9)</f>
        <v>0.16379163027380095</v>
      </c>
      <c r="H9" s="3">
        <v>245169</v>
      </c>
      <c r="I9" s="1243"/>
      <c r="J9" s="61"/>
      <c r="K9" s="1527">
        <f>IF(H9=0,"0.00%",(L9-H9)/H9)</f>
        <v>-0.12226668135041542</v>
      </c>
      <c r="L9" s="3">
        <f>+L1</f>
        <v>215193</v>
      </c>
      <c r="M9" s="1243" t="s">
        <v>948</v>
      </c>
      <c r="O9" s="1527">
        <f>IF(L9=0,"0.00%",(P9-L9)/L9)</f>
        <v>2.3499835031808657E-2</v>
      </c>
      <c r="P9" s="3">
        <f>+P1</f>
        <v>220250</v>
      </c>
      <c r="Q9" s="1243" t="s">
        <v>143</v>
      </c>
      <c r="S9" s="83">
        <f>IF(P9=0,"0.00%",(T9-P9)/P9)</f>
        <v>0</v>
      </c>
      <c r="T9" s="3">
        <f>P9</f>
        <v>220250</v>
      </c>
      <c r="U9" s="39" t="s">
        <v>174</v>
      </c>
      <c r="W9" s="83">
        <f>IF(T9=0,"0.00%",(X9-T9)/T9)</f>
        <v>0</v>
      </c>
      <c r="X9" s="3">
        <f>T9</f>
        <v>220250</v>
      </c>
      <c r="Y9" s="39" t="s">
        <v>174</v>
      </c>
      <c r="AA9" s="83">
        <f>IF(X9=0,"0.00%",(AB9-X9)/X9)</f>
        <v>0</v>
      </c>
      <c r="AB9" s="3">
        <f>X9</f>
        <v>220250</v>
      </c>
      <c r="AC9" s="39" t="s">
        <v>174</v>
      </c>
    </row>
    <row r="10" spans="1:29" x14ac:dyDescent="0.25">
      <c r="C10" s="1243" t="s">
        <v>51</v>
      </c>
      <c r="D10" s="2">
        <v>-1081.22</v>
      </c>
      <c r="E10" s="1243" t="s">
        <v>212</v>
      </c>
      <c r="G10" s="1527">
        <f t="shared" ref="G10:G15" si="0">IF(D10=0,"0.00%",(H10-D10)/D10)</f>
        <v>-1</v>
      </c>
      <c r="H10" s="3">
        <v>0</v>
      </c>
      <c r="I10" s="1243"/>
      <c r="J10" s="61"/>
      <c r="K10" s="1527" t="str">
        <f>IF(H10=0,"0.00%",(L10-H10)/H10)</f>
        <v>0.00%</v>
      </c>
      <c r="L10" s="3">
        <v>38613</v>
      </c>
      <c r="M10" s="1243" t="s">
        <v>219</v>
      </c>
      <c r="O10" s="1527">
        <f>IF(L10=0,"0.00%",(P10-L10)/L10)</f>
        <v>-0.49141480848418928</v>
      </c>
      <c r="P10" s="3">
        <f>+P2</f>
        <v>19638</v>
      </c>
      <c r="Q10" s="1243" t="s">
        <v>219</v>
      </c>
      <c r="S10" s="83">
        <f>IF(P10=0,"0.00%",(T10-P10)/P10)</f>
        <v>-2</v>
      </c>
      <c r="T10" s="3">
        <f>-P2</f>
        <v>-19638</v>
      </c>
      <c r="W10" s="83">
        <f>IF(T10=0,"0.00%",(X10-T10)/T10)</f>
        <v>-1</v>
      </c>
      <c r="X10" s="3">
        <f>-T2</f>
        <v>0</v>
      </c>
      <c r="AA10" s="83" t="str">
        <f>IF(X10=0,"0.00%",(AB10-X10)/X10)</f>
        <v>0.00%</v>
      </c>
      <c r="AB10" s="3">
        <f>-X2</f>
        <v>0</v>
      </c>
    </row>
    <row r="11" spans="1:29" x14ac:dyDescent="0.25">
      <c r="B11" s="1323" t="s">
        <v>137</v>
      </c>
      <c r="D11" s="8">
        <f>SUM(D9:D10)</f>
        <v>209582.78</v>
      </c>
      <c r="G11" s="1527">
        <f t="shared" si="0"/>
        <v>0.16979553377429196</v>
      </c>
      <c r="H11" s="8">
        <f>SUM(H9:H10)</f>
        <v>245169</v>
      </c>
      <c r="I11" s="1882">
        <f>+H11-D11</f>
        <v>35586.22</v>
      </c>
      <c r="J11" s="62"/>
      <c r="K11" s="1527">
        <f>IF(H11=0,"0.00%",(L11-H11)/H11)</f>
        <v>3.5228760569239993E-2</v>
      </c>
      <c r="L11" s="8">
        <f>SUM(L9:L10)</f>
        <v>253806</v>
      </c>
      <c r="M11" s="1882">
        <f>+L11-H11</f>
        <v>8637</v>
      </c>
      <c r="O11" s="1527">
        <f>IF(L11=0,"0.00%",(P11-L11)/L11)</f>
        <v>-5.4837159090013632E-2</v>
      </c>
      <c r="P11" s="8">
        <f>SUM(P9:P10)</f>
        <v>239888</v>
      </c>
      <c r="Q11" s="1882">
        <f>+P11-L11</f>
        <v>-13918</v>
      </c>
      <c r="S11" s="83">
        <f>IF(P11=0,"0.00%",(T11-P11)/P11)</f>
        <v>-0.1637264056559728</v>
      </c>
      <c r="T11" s="78">
        <f>SUM(T9:T10)</f>
        <v>200612</v>
      </c>
      <c r="W11" s="83">
        <f>IF(T11=0,"0.00%",(X11-T11)/T11)</f>
        <v>9.7890455207066379E-2</v>
      </c>
      <c r="X11" s="78">
        <f>SUM(X9:X10)</f>
        <v>220250</v>
      </c>
      <c r="AA11" s="83">
        <f>IF(X11=0,"0.00%",(AB11-X11)/X11)</f>
        <v>0</v>
      </c>
      <c r="AB11" s="78">
        <f>SUM(AB9:AB10)</f>
        <v>220250</v>
      </c>
    </row>
    <row r="12" spans="1:29" x14ac:dyDescent="0.25">
      <c r="H12" s="3"/>
      <c r="I12" s="1243"/>
      <c r="J12" s="63"/>
      <c r="K12" s="1399"/>
      <c r="L12" s="3"/>
      <c r="O12" s="1399"/>
      <c r="P12" s="3"/>
      <c r="S12" s="46"/>
      <c r="T12" s="44"/>
      <c r="W12" s="46"/>
      <c r="X12" s="44"/>
      <c r="AA12" s="46"/>
      <c r="AB12" s="44"/>
    </row>
    <row r="13" spans="1:29" x14ac:dyDescent="0.25">
      <c r="C13" s="1325" t="s">
        <v>64</v>
      </c>
      <c r="D13" s="9">
        <f>ROUND(D11-(D11/(1+E13)),0)</f>
        <v>7478</v>
      </c>
      <c r="E13" s="52">
        <f>'2016-17  RS 3010-DO &amp; All Sites'!AD13</f>
        <v>3.6999999999999998E-2</v>
      </c>
      <c r="G13" s="1527">
        <f t="shared" si="0"/>
        <v>0.39382187750735492</v>
      </c>
      <c r="H13" s="9">
        <f>ROUND(H11-(H11/(1+I13)),0)</f>
        <v>10423</v>
      </c>
      <c r="I13" s="1506">
        <v>4.4400000000000002E-2</v>
      </c>
      <c r="J13" s="64"/>
      <c r="K13" s="1527">
        <f>IF(H13=0,"0.00%",(L13-H13)/H13)</f>
        <v>3.5210591960088265E-2</v>
      </c>
      <c r="L13" s="9">
        <f>ROUND(L11-(L11/(1+M13)),0)</f>
        <v>10790</v>
      </c>
      <c r="M13" s="1506">
        <v>4.4400000000000002E-2</v>
      </c>
      <c r="O13" s="1527">
        <f>IF(L13=0,"0.00%",(P13-L13)/L13)</f>
        <v>-5.4865616311399447E-2</v>
      </c>
      <c r="P13" s="9">
        <f>ROUND(P11-(P11/(1+Q13)),0)</f>
        <v>10198</v>
      </c>
      <c r="Q13" s="1506">
        <v>4.4400000000000002E-2</v>
      </c>
      <c r="S13" s="83">
        <f>IF(P13=0,"0.00%",(T13-P13)/P13)</f>
        <v>-0.29809766620906059</v>
      </c>
      <c r="T13" s="77">
        <f>ROUND(T11-(T11/(1+E13)),0)</f>
        <v>7158</v>
      </c>
      <c r="W13" s="83">
        <f>IF(T13=0,"0.00%",(X13-T13)/T13)</f>
        <v>9.7792679519418835E-2</v>
      </c>
      <c r="X13" s="77">
        <f>ROUND(X11-(X11/(1+E13)),0)</f>
        <v>7858</v>
      </c>
      <c r="AA13" s="83">
        <f>IF(X13=0,"0.00%",(AB13-X13)/X13)</f>
        <v>6.9194451514380253</v>
      </c>
      <c r="AB13" s="77">
        <f>ROUND(AB11-(AB11/(1+G13)),0)</f>
        <v>62231</v>
      </c>
    </row>
    <row r="14" spans="1:29" x14ac:dyDescent="0.25">
      <c r="H14" s="3"/>
      <c r="I14" s="1243"/>
      <c r="J14" s="63"/>
      <c r="K14" s="1399"/>
      <c r="L14" s="3"/>
      <c r="O14" s="1399"/>
      <c r="P14" s="3"/>
      <c r="S14" s="46"/>
      <c r="T14" s="44"/>
      <c r="W14" s="46"/>
      <c r="X14" s="44"/>
      <c r="AA14" s="46"/>
      <c r="AB14" s="44"/>
    </row>
    <row r="15" spans="1:29" x14ac:dyDescent="0.25">
      <c r="B15" s="1323" t="s">
        <v>50</v>
      </c>
      <c r="D15" s="10">
        <f>D11-D13</f>
        <v>202104.78</v>
      </c>
      <c r="G15" s="1527">
        <f t="shared" si="0"/>
        <v>0.16150642255962477</v>
      </c>
      <c r="H15" s="9">
        <f>H11-H13</f>
        <v>234746</v>
      </c>
      <c r="I15" s="1882">
        <f>+H15-D15</f>
        <v>32641.22</v>
      </c>
      <c r="J15" s="62"/>
      <c r="K15" s="1527">
        <f>IF(H15=0,"0.00%",(L15-H15)/H15)</f>
        <v>3.5229567276971706E-2</v>
      </c>
      <c r="L15" s="9">
        <f>L11-L13</f>
        <v>243016</v>
      </c>
      <c r="M15" s="1882">
        <f>+L15-H15</f>
        <v>8270</v>
      </c>
      <c r="O15" s="1527">
        <f>IF(L15=0,"0.00%",(P15-L15)/L15)</f>
        <v>-5.4835895578891923E-2</v>
      </c>
      <c r="P15" s="9">
        <f>P11-P13</f>
        <v>229690</v>
      </c>
      <c r="Q15" s="1882">
        <f>+P15-L15</f>
        <v>-13326</v>
      </c>
      <c r="S15" s="83">
        <f>IF(P15=0,"0.00%",(T15-P15)/P15)</f>
        <v>-0.15776045975009795</v>
      </c>
      <c r="T15" s="19">
        <f>T11-T13</f>
        <v>193454</v>
      </c>
      <c r="W15" s="83">
        <f>IF(T15=0,"0.00%",(X15-T15)/T15)</f>
        <v>9.7894073009604357E-2</v>
      </c>
      <c r="X15" s="19">
        <f>X11-X13</f>
        <v>212392</v>
      </c>
      <c r="AA15" s="83">
        <f>IF(X15=0,"0.00%",(AB15-X15)/X15)</f>
        <v>-0.25600305096237147</v>
      </c>
      <c r="AB15" s="19">
        <f>AB11-AB13</f>
        <v>158019</v>
      </c>
    </row>
    <row r="16" spans="1:29" x14ac:dyDescent="0.25">
      <c r="H16" s="3"/>
      <c r="I16" s="1243"/>
      <c r="J16" s="62"/>
      <c r="L16" s="3"/>
      <c r="P16" s="3"/>
      <c r="T16" s="49"/>
      <c r="X16" s="49"/>
      <c r="AB16" s="49"/>
    </row>
    <row r="17" spans="1:29" x14ac:dyDescent="0.25">
      <c r="C17" s="1317"/>
      <c r="H17" s="3"/>
      <c r="I17" s="1243"/>
      <c r="J17" s="63"/>
      <c r="L17" s="3"/>
      <c r="P17" s="3"/>
      <c r="T17" s="44"/>
      <c r="X17" s="44"/>
      <c r="AB17" s="44"/>
    </row>
    <row r="18" spans="1:29" x14ac:dyDescent="0.25">
      <c r="A18" s="32"/>
      <c r="D18" s="29" t="s">
        <v>874</v>
      </c>
      <c r="E18" s="1316"/>
      <c r="F18" s="32"/>
      <c r="H18" s="29" t="s">
        <v>177</v>
      </c>
      <c r="I18" s="1245"/>
      <c r="J18" s="65"/>
      <c r="M18" s="1245"/>
      <c r="Q18" s="1245"/>
      <c r="U18" s="32"/>
      <c r="Y18" s="32"/>
      <c r="AC18" s="32"/>
    </row>
    <row r="19" spans="1:29" ht="17.25" x14ac:dyDescent="0.4">
      <c r="A19" s="79"/>
      <c r="D19" s="35" t="s">
        <v>875</v>
      </c>
      <c r="E19" s="1246"/>
      <c r="F19" s="34"/>
      <c r="H19" s="35" t="s">
        <v>48</v>
      </c>
      <c r="I19" s="1256"/>
      <c r="J19" s="29"/>
      <c r="L19" s="14" t="s">
        <v>48</v>
      </c>
      <c r="M19" s="1397">
        <v>0.02</v>
      </c>
      <c r="N19" s="479"/>
      <c r="P19" s="1496" t="s">
        <v>48</v>
      </c>
      <c r="Q19" s="1397">
        <v>0.02</v>
      </c>
      <c r="T19" s="14" t="s">
        <v>48</v>
      </c>
      <c r="U19" s="104">
        <v>0.02</v>
      </c>
      <c r="X19" s="14" t="s">
        <v>48</v>
      </c>
      <c r="Y19" s="104">
        <v>0.02</v>
      </c>
      <c r="AB19" s="14" t="s">
        <v>48</v>
      </c>
      <c r="AC19" s="104">
        <v>0.02</v>
      </c>
    </row>
    <row r="20" spans="1:29" s="13" customFormat="1" x14ac:dyDescent="0.25">
      <c r="A20" s="58"/>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x14ac:dyDescent="0.25">
      <c r="A21" s="61"/>
      <c r="B21" s="1326" t="s">
        <v>179</v>
      </c>
      <c r="C21" s="1243" t="s">
        <v>729</v>
      </c>
      <c r="D21" s="2">
        <v>145835.78</v>
      </c>
      <c r="E21" s="1249" t="s">
        <v>735</v>
      </c>
      <c r="F21" s="2"/>
      <c r="G21" s="1527">
        <f t="shared" ref="G21:G29" si="1">IF(D21=0,"0.00%",(H21-D21)/D21)</f>
        <v>0.19648278358027091</v>
      </c>
      <c r="H21" s="2">
        <v>174490</v>
      </c>
      <c r="I21" s="1240"/>
      <c r="J21" s="66"/>
      <c r="K21" s="1527">
        <f t="shared" ref="K21:K26" si="2">IF(H21=0,"0.00%",(L21-H21)/H21)</f>
        <v>2.0001146197489827E-2</v>
      </c>
      <c r="L21" s="2">
        <f>ROUND(H21*(1+M19),0)</f>
        <v>177980</v>
      </c>
      <c r="M21" s="1257" t="str">
        <f>TEXT(M19,"0.0%")&amp;" = Est. S &amp; C"</f>
        <v>2.0% = Est. S &amp; C</v>
      </c>
      <c r="O21" s="1527">
        <f t="shared" ref="O21:O26" si="3">IF(L21=0,"0.00%",(P21-L21)/L21)</f>
        <v>2.0002247443532982E-2</v>
      </c>
      <c r="P21" s="2">
        <f>ROUND(L21*(1+Q19),0)</f>
        <v>181540</v>
      </c>
      <c r="Q21" s="1257" t="str">
        <f>TEXT(Q19,"0.0%")&amp;" = Est. S &amp; C"</f>
        <v>2.0% = Est. S &amp; C</v>
      </c>
      <c r="S21" s="83">
        <f t="shared" ref="S21:S26" si="4">IF(P21=0,"0.00%",(T21-P21)/P21)</f>
        <v>2.0001101685578934E-2</v>
      </c>
      <c r="T21" s="2">
        <f>ROUND(P21*(1+U19),0)</f>
        <v>185171</v>
      </c>
      <c r="U21" s="36" t="str">
        <f>TEXT(U19,"0.0%")&amp;" = Est. S &amp; C"</f>
        <v>2.0% = Est. S &amp; C</v>
      </c>
      <c r="W21" s="83">
        <f t="shared" ref="W21:W26" si="5">IF(T21=0,"0.00%",(X21-T21)/T21)</f>
        <v>1.999773182625789E-2</v>
      </c>
      <c r="X21" s="2">
        <f>ROUND(T21*(1+Y19),0)</f>
        <v>188874</v>
      </c>
      <c r="Y21" s="36" t="str">
        <f>TEXT(Y19,"0.0%")&amp;" = Est. S &amp; C"</f>
        <v>2.0% = Est. S &amp; C</v>
      </c>
      <c r="AA21" s="83">
        <f t="shared" ref="AA21:AA26" si="6">IF(X21=0,"0.00%",(AB21-X21)/X21)</f>
        <v>1.9997458623209122E-2</v>
      </c>
      <c r="AB21" s="2">
        <f>ROUND(X21*(1+AC19),0)</f>
        <v>192651</v>
      </c>
      <c r="AC21" s="36" t="str">
        <f>TEXT(AC19,"0.0%")&amp;" = Est. S &amp; C"</f>
        <v>2.0% = Est. S &amp; C</v>
      </c>
    </row>
    <row r="22" spans="1:29" hidden="1" x14ac:dyDescent="0.25">
      <c r="A22" s="66"/>
      <c r="B22" s="1326"/>
      <c r="D22" s="2">
        <v>0</v>
      </c>
      <c r="E22" s="1249"/>
      <c r="F22" s="2"/>
      <c r="G22" s="1527" t="str">
        <f>IF(D22=0,"0.00%",(#REF!-D22)/D22)</f>
        <v>0.00%</v>
      </c>
      <c r="H22" s="108">
        <v>0</v>
      </c>
      <c r="I22" s="1346"/>
      <c r="J22" s="66"/>
      <c r="K22" s="1552" t="str">
        <f t="shared" si="2"/>
        <v>0.00%</v>
      </c>
      <c r="L22" s="108">
        <v>0</v>
      </c>
      <c r="M22" s="1346"/>
      <c r="N22" s="56"/>
      <c r="O22" s="1552" t="str">
        <f t="shared" si="3"/>
        <v>0.00%</v>
      </c>
      <c r="P22" s="108">
        <v>0</v>
      </c>
      <c r="Q22" s="1346"/>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66"/>
      <c r="B23" s="1326"/>
      <c r="D23" s="2">
        <v>0</v>
      </c>
      <c r="E23" s="1249"/>
      <c r="F23" s="2"/>
      <c r="G23" s="1527" t="str">
        <f t="shared" si="1"/>
        <v>0.00%</v>
      </c>
      <c r="H23" s="2">
        <f>ROUND(D23*(1+$I$19),0)</f>
        <v>0</v>
      </c>
      <c r="I23" s="1257" t="str">
        <f>TEXT($I$19,"0.0%")&amp;" = Est. S &amp; C"</f>
        <v>0.0% = Est. S &amp; C</v>
      </c>
      <c r="J23" s="66"/>
      <c r="K23" s="1527" t="str">
        <f t="shared" si="2"/>
        <v>0.00%</v>
      </c>
      <c r="L23" s="108">
        <f>ROUND(H23*(1+M19),0)</f>
        <v>0</v>
      </c>
      <c r="M23" s="1346" t="str">
        <f>TEXT(M19,"0.0%")&amp;" = Est. S &amp; C"</f>
        <v>2.0% = Est. S &amp; C</v>
      </c>
      <c r="O23" s="1527" t="str">
        <f t="shared" si="3"/>
        <v>0.00%</v>
      </c>
      <c r="P23" s="2">
        <f>ROUND(L23*(1+Q19),0)</f>
        <v>0</v>
      </c>
      <c r="Q23" s="1257"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66"/>
      <c r="B24" s="1326"/>
      <c r="D24" s="2">
        <v>0</v>
      </c>
      <c r="E24" s="1249"/>
      <c r="F24" s="2"/>
      <c r="G24" s="1527" t="str">
        <f t="shared" si="1"/>
        <v>0.00%</v>
      </c>
      <c r="H24" s="2">
        <f>ROUND(D24*(1+$I$19),0)</f>
        <v>0</v>
      </c>
      <c r="I24" s="1257" t="str">
        <f>TEXT($I$19,"0.0%")&amp;" = Est. S &amp; C"</f>
        <v>0.0% = Est. S &amp; C</v>
      </c>
      <c r="J24" s="66"/>
      <c r="K24" s="1527" t="str">
        <f t="shared" si="2"/>
        <v>0.00%</v>
      </c>
      <c r="L24" s="108">
        <f>ROUND(H24*(1+M19),0)</f>
        <v>0</v>
      </c>
      <c r="M24" s="1346" t="str">
        <f>TEXT(M19,"0.0%")&amp;" = Est. S &amp; C"</f>
        <v>2.0% = Est. S &amp; C</v>
      </c>
      <c r="O24" s="1527" t="str">
        <f t="shared" si="3"/>
        <v>0.00%</v>
      </c>
      <c r="P24" s="2">
        <f>ROUND(L24*(1+Q19),0)</f>
        <v>0</v>
      </c>
      <c r="Q24" s="125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66"/>
      <c r="B25" s="1326"/>
      <c r="D25" s="2">
        <v>0</v>
      </c>
      <c r="E25" s="1249"/>
      <c r="F25" s="2"/>
      <c r="G25" s="1527" t="str">
        <f t="shared" si="1"/>
        <v>0.00%</v>
      </c>
      <c r="H25" s="2">
        <f>ROUND(D25*(1+$I$19),0)</f>
        <v>0</v>
      </c>
      <c r="I25" s="1257" t="str">
        <f>TEXT($I$19,"0.0%")&amp;" = Est. S &amp; C"</f>
        <v>0.0% = Est. S &amp; C</v>
      </c>
      <c r="J25" s="66"/>
      <c r="K25" s="1527" t="str">
        <f t="shared" si="2"/>
        <v>0.00%</v>
      </c>
      <c r="L25" s="108">
        <f>ROUND(H25*(1+M19),0)</f>
        <v>0</v>
      </c>
      <c r="M25" s="1346" t="str">
        <f>TEXT(M19,"0.0%")&amp;" = Est. S &amp; C"</f>
        <v>2.0% = Est. S &amp; C</v>
      </c>
      <c r="O25" s="1527" t="str">
        <f t="shared" si="3"/>
        <v>0.00%</v>
      </c>
      <c r="P25" s="2">
        <f>ROUND(L25*(1+Q19),0)</f>
        <v>0</v>
      </c>
      <c r="Q25" s="125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66"/>
      <c r="B26" s="1326"/>
      <c r="D26" s="2">
        <v>0</v>
      </c>
      <c r="E26" s="1249"/>
      <c r="F26" s="2"/>
      <c r="G26" s="1527" t="str">
        <f t="shared" si="1"/>
        <v>0.00%</v>
      </c>
      <c r="H26" s="2">
        <f>ROUND(D26*(1+$I$19),0)</f>
        <v>0</v>
      </c>
      <c r="I26" s="1257" t="str">
        <f>TEXT($I$19,"0.0%")&amp;" = Est. S &amp; C"</f>
        <v>0.0% = Est. S &amp; C</v>
      </c>
      <c r="J26" s="66"/>
      <c r="K26" s="1527" t="str">
        <f t="shared" si="2"/>
        <v>0.00%</v>
      </c>
      <c r="L26" s="108">
        <f>ROUND(H26*(1+M19),0)</f>
        <v>0</v>
      </c>
      <c r="M26" s="1346" t="str">
        <f>TEXT(M19,"0.0%")&amp;" = Est. S &amp; C"</f>
        <v>2.0% = Est. S &amp; C</v>
      </c>
      <c r="O26" s="1527" t="str">
        <f t="shared" si="3"/>
        <v>0.00%</v>
      </c>
      <c r="P26" s="2">
        <f>ROUND(L26*(1+Q19),0)</f>
        <v>0</v>
      </c>
      <c r="Q26" s="125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66"/>
      <c r="B27" s="1326"/>
      <c r="E27" s="1249"/>
      <c r="F27" s="2"/>
      <c r="G27" s="1527"/>
      <c r="H27" s="2"/>
      <c r="I27" s="1257"/>
      <c r="J27" s="66"/>
      <c r="L27" s="108"/>
      <c r="M27" s="1354"/>
      <c r="Q27" s="1335"/>
      <c r="T27" s="2"/>
      <c r="U27" s="73"/>
      <c r="X27" s="2"/>
      <c r="Y27" s="73"/>
      <c r="AB27" s="2"/>
      <c r="AC27" s="73"/>
    </row>
    <row r="28" spans="1:29" x14ac:dyDescent="0.25">
      <c r="A28" s="66"/>
      <c r="B28" s="1326"/>
      <c r="E28" s="1249"/>
      <c r="F28" s="2"/>
      <c r="G28" s="1527"/>
      <c r="H28" s="2"/>
      <c r="I28" s="1257"/>
      <c r="J28" s="66"/>
      <c r="L28" s="108"/>
      <c r="M28" s="1354"/>
      <c r="P28" s="162">
        <v>-18160</v>
      </c>
      <c r="Q28" s="1507" t="s">
        <v>913</v>
      </c>
      <c r="T28" s="2"/>
      <c r="U28" s="73"/>
      <c r="X28" s="2"/>
      <c r="Y28" s="73"/>
      <c r="AB28" s="2"/>
      <c r="AC28" s="73"/>
    </row>
    <row r="29" spans="1:29" x14ac:dyDescent="0.25">
      <c r="A29" s="29"/>
      <c r="B29" s="1326"/>
      <c r="D29" s="8">
        <f>SUM(D21:D28)</f>
        <v>145835.78</v>
      </c>
      <c r="E29" s="1249"/>
      <c r="F29" s="2"/>
      <c r="G29" s="1527">
        <f t="shared" si="1"/>
        <v>0.19648278358027091</v>
      </c>
      <c r="H29" s="8">
        <f>SUM(H21:H28)</f>
        <v>174490</v>
      </c>
      <c r="I29" s="1882">
        <f>+H29-D29</f>
        <v>28654.22</v>
      </c>
      <c r="J29" s="29"/>
      <c r="K29" s="1527">
        <f>IF(H29=0,"0.00%",(L29-H29)/H29)</f>
        <v>2.0001146197489827E-2</v>
      </c>
      <c r="L29" s="122">
        <f>SUM(L21:L28)</f>
        <v>177980</v>
      </c>
      <c r="M29" s="1882">
        <f>+L29-H29</f>
        <v>3490</v>
      </c>
      <c r="O29" s="1527">
        <f>IF(L29=0,"0.00%",(P29-L29)/L29)</f>
        <v>-8.2031688953815032E-2</v>
      </c>
      <c r="P29" s="8">
        <f>SUM(P21:P28)</f>
        <v>163380</v>
      </c>
      <c r="Q29" s="1882">
        <f>+P29-L29</f>
        <v>-14600</v>
      </c>
      <c r="S29" s="83">
        <f>IF(P29=0,"0.00%",(T29-P29)/P29)</f>
        <v>0.13337617823479006</v>
      </c>
      <c r="T29" s="8">
        <f>SUM(T21:T28)</f>
        <v>185171</v>
      </c>
      <c r="U29" s="73"/>
      <c r="W29" s="83">
        <f>IF(T29=0,"0.00%",(X29-T29)/T29)</f>
        <v>1.999773182625789E-2</v>
      </c>
      <c r="X29" s="8">
        <f>SUM(X21:X28)</f>
        <v>188874</v>
      </c>
      <c r="Y29" s="73"/>
      <c r="AA29" s="83">
        <f>IF(X29=0,"0.00%",(AB29-X29)/X29)</f>
        <v>1.9997458623209122E-2</v>
      </c>
      <c r="AB29" s="8">
        <f>SUM(AB21:AB28)</f>
        <v>192651</v>
      </c>
      <c r="AC29" s="73"/>
    </row>
    <row r="30" spans="1:29" x14ac:dyDescent="0.25">
      <c r="A30" s="66"/>
      <c r="E30" s="1249"/>
      <c r="F30" s="2"/>
      <c r="H30" s="2"/>
      <c r="I30" s="1366"/>
      <c r="J30" s="66"/>
      <c r="L30" s="2"/>
      <c r="M30" s="1336"/>
      <c r="Q30" s="1336"/>
      <c r="T30" s="2"/>
      <c r="U30" s="73"/>
      <c r="X30" s="2"/>
      <c r="Y30" s="73"/>
      <c r="AB30" s="2"/>
      <c r="AC30" s="73"/>
    </row>
    <row r="31" spans="1:29" s="4" customFormat="1" x14ac:dyDescent="0.25">
      <c r="A31" s="58"/>
      <c r="B31" s="1327" t="s">
        <v>35</v>
      </c>
      <c r="C31" s="1259"/>
      <c r="D31" s="6"/>
      <c r="E31" s="1250"/>
      <c r="F31" s="6"/>
      <c r="G31" s="1539"/>
      <c r="H31" s="6"/>
      <c r="I31" s="1250"/>
      <c r="J31" s="57"/>
      <c r="K31" s="1571"/>
      <c r="L31" s="6"/>
      <c r="M31" s="1337"/>
      <c r="O31" s="1571"/>
      <c r="P31" s="6"/>
      <c r="Q31" s="1337"/>
      <c r="R31" s="111"/>
      <c r="T31" s="6"/>
      <c r="U31" s="71"/>
      <c r="X31" s="6"/>
      <c r="Y31" s="71"/>
      <c r="AB31" s="6"/>
      <c r="AC31" s="71"/>
    </row>
    <row r="32" spans="1:29" hidden="1" x14ac:dyDescent="0.25">
      <c r="A32" s="66"/>
      <c r="B32" s="1326"/>
      <c r="D32" s="2">
        <v>0</v>
      </c>
      <c r="E32" s="1249"/>
      <c r="F32" s="2"/>
      <c r="G32" s="1527" t="str">
        <f t="shared" ref="G32:G38" si="7">IF(D32=0,"0.00%",(H32-D32)/D32)</f>
        <v>0.00%</v>
      </c>
      <c r="H32" s="2">
        <f t="shared" ref="H32:H38" si="8">ROUND(D32*(1+$I$19),0)</f>
        <v>0</v>
      </c>
      <c r="I32" s="1257" t="str">
        <f t="shared" ref="I32:I38" si="9">TEXT($I$19,"0.0%")&amp;" = Est. S &amp; C"</f>
        <v>0.0% = Est. S &amp; C</v>
      </c>
      <c r="J32" s="66"/>
      <c r="K32" s="1527" t="str">
        <f t="shared" ref="K32:K38" si="10">IF(H32=0,"0.00%",(L32-H32)/H32)</f>
        <v>0.00%</v>
      </c>
      <c r="L32" s="2">
        <f>ROUND(H32*(1+M19),0)</f>
        <v>0</v>
      </c>
      <c r="M32" s="1257" t="str">
        <f>TEXT(M19,"0.0%")&amp;" = Est. S &amp; C"</f>
        <v>2.0% = Est. S &amp; C</v>
      </c>
      <c r="O32" s="1527" t="str">
        <f t="shared" ref="O32:O38" si="11">IF(L32=0,"0.00%",(P32-L32)/L32)</f>
        <v>0.00%</v>
      </c>
      <c r="P32" s="2">
        <f>ROUND(L32*(1+Q19),0)</f>
        <v>0</v>
      </c>
      <c r="Q32" s="1257" t="str">
        <f>TEXT(Q19,"0.0%")&amp;" = Est. S &amp; C"</f>
        <v>2.0% = Est. S &amp; C</v>
      </c>
      <c r="S32" s="83" t="str">
        <f t="shared" ref="S32:S38" si="12">IF(P32=0,"0.00%",(T32-P32)/P32)</f>
        <v>0.00%</v>
      </c>
      <c r="T32" s="2">
        <f>ROUND(P32*(1+U19),0)</f>
        <v>0</v>
      </c>
      <c r="U32" s="36" t="str">
        <f>TEXT(U19,"0.0%")&amp;" = Est. S &amp; C"</f>
        <v>2.0% = Est. S &amp; C</v>
      </c>
      <c r="W32" s="83" t="str">
        <f t="shared" ref="W32:W38" si="13">IF(T32=0,"0.00%",(X32-T32)/T32)</f>
        <v>0.00%</v>
      </c>
      <c r="X32" s="2">
        <f>ROUND(T32*(1+Y19),0)</f>
        <v>0</v>
      </c>
      <c r="Y32" s="36" t="str">
        <f>TEXT(Y19,"0.0%")&amp;" = Est. S &amp; C"</f>
        <v>2.0% = Est. S &amp; C</v>
      </c>
      <c r="AA32" s="83" t="str">
        <f t="shared" ref="AA32:AA38" si="14">IF(X32=0,"0.00%",(AB32-X32)/X32)</f>
        <v>0.00%</v>
      </c>
      <c r="AB32" s="2">
        <f>ROUND(X32*(1+AC19),0)</f>
        <v>0</v>
      </c>
      <c r="AC32" s="36" t="str">
        <f>TEXT(AC19,"0.0%")&amp;" = Est. S &amp; C"</f>
        <v>2.0% = Est. S &amp; C</v>
      </c>
    </row>
    <row r="33" spans="1:29" hidden="1" x14ac:dyDescent="0.25">
      <c r="A33" s="66"/>
      <c r="B33" s="1326"/>
      <c r="D33" s="2">
        <v>0</v>
      </c>
      <c r="E33" s="1249"/>
      <c r="F33" s="2"/>
      <c r="G33" s="1527" t="str">
        <f t="shared" si="7"/>
        <v>0.00%</v>
      </c>
      <c r="H33" s="2">
        <f t="shared" si="8"/>
        <v>0</v>
      </c>
      <c r="I33" s="1257" t="str">
        <f t="shared" si="9"/>
        <v>0.0% = Est. S &amp; C</v>
      </c>
      <c r="J33" s="66"/>
      <c r="K33" s="1527" t="str">
        <f t="shared" si="10"/>
        <v>0.00%</v>
      </c>
      <c r="L33" s="2">
        <f>ROUND(H33*(1+M19),0)</f>
        <v>0</v>
      </c>
      <c r="M33" s="1257" t="str">
        <f>TEXT(M19,"0.0%")&amp;" = Est. S &amp; C"</f>
        <v>2.0% = Est. S &amp; C</v>
      </c>
      <c r="O33" s="1527" t="str">
        <f t="shared" si="11"/>
        <v>0.00%</v>
      </c>
      <c r="P33" s="2">
        <f>ROUND(L33*(1+Q19),0)</f>
        <v>0</v>
      </c>
      <c r="Q33" s="1257" t="str">
        <f>TEXT(Q19,"0.0%")&amp;" = Est. S &amp; C"</f>
        <v>2.0% = Est. S &amp; C</v>
      </c>
      <c r="S33" s="83" t="str">
        <f t="shared" si="12"/>
        <v>0.00%</v>
      </c>
      <c r="T33" s="2">
        <f>ROUND(P33*(1+U19),0)</f>
        <v>0</v>
      </c>
      <c r="U33" s="36" t="str">
        <f>TEXT(U19,"0.0%")&amp;" = Est. S &amp; C"</f>
        <v>2.0% = Est. S &amp; C</v>
      </c>
      <c r="W33" s="83" t="str">
        <f t="shared" si="13"/>
        <v>0.00%</v>
      </c>
      <c r="X33" s="2">
        <f>ROUND(T33*(1+Y19),0)</f>
        <v>0</v>
      </c>
      <c r="Y33" s="36" t="str">
        <f>TEXT(Y19,"0.0%")&amp;" = Est. S &amp; C"</f>
        <v>2.0% = Est. S &amp; C</v>
      </c>
      <c r="AA33" s="83" t="str">
        <f t="shared" si="14"/>
        <v>0.00%</v>
      </c>
      <c r="AB33" s="2">
        <f>ROUND(X33*(1+AC19),0)</f>
        <v>0</v>
      </c>
      <c r="AC33" s="36" t="str">
        <f>TEXT(AC19,"0.0%")&amp;" = Est. S &amp; C"</f>
        <v>2.0% = Est. S &amp; C</v>
      </c>
    </row>
    <row r="34" spans="1:29" hidden="1" x14ac:dyDescent="0.25">
      <c r="A34" s="66"/>
      <c r="B34" s="1326"/>
      <c r="D34" s="2">
        <v>0</v>
      </c>
      <c r="E34" s="1249"/>
      <c r="F34" s="2"/>
      <c r="G34" s="1527" t="str">
        <f t="shared" si="7"/>
        <v>0.00%</v>
      </c>
      <c r="H34" s="2">
        <f t="shared" si="8"/>
        <v>0</v>
      </c>
      <c r="I34" s="1257" t="str">
        <f t="shared" si="9"/>
        <v>0.0% = Est. S &amp; C</v>
      </c>
      <c r="J34" s="66"/>
      <c r="K34" s="1527" t="str">
        <f t="shared" si="10"/>
        <v>0.00%</v>
      </c>
      <c r="L34" s="2">
        <f>ROUND(H34*(1+M19),0)</f>
        <v>0</v>
      </c>
      <c r="M34" s="1257" t="str">
        <f>TEXT(M19,"0.0%")&amp;" = Est. S &amp; C"</f>
        <v>2.0% = Est. S &amp; C</v>
      </c>
      <c r="O34" s="1527" t="str">
        <f t="shared" si="11"/>
        <v>0.00%</v>
      </c>
      <c r="P34" s="2">
        <f>ROUND(L34*(1+Q19),0)</f>
        <v>0</v>
      </c>
      <c r="Q34" s="1257" t="str">
        <f>TEXT(Q19,"0.0%")&amp;" = Est. S &amp; C"</f>
        <v>2.0% = Est. S &amp; C</v>
      </c>
      <c r="S34" s="83" t="str">
        <f t="shared" si="12"/>
        <v>0.00%</v>
      </c>
      <c r="T34" s="2">
        <f>ROUND(P34*(1+U19),0)</f>
        <v>0</v>
      </c>
      <c r="U34" s="36" t="str">
        <f>TEXT(U19,"0.0%")&amp;" = Est. S &amp; C"</f>
        <v>2.0% = Est. S &amp; C</v>
      </c>
      <c r="W34" s="83" t="str">
        <f t="shared" si="13"/>
        <v>0.00%</v>
      </c>
      <c r="X34" s="2">
        <f>ROUND(T34*(1+Y19),0)</f>
        <v>0</v>
      </c>
      <c r="Y34" s="36" t="str">
        <f>TEXT(Y19,"0.0%")&amp;" = Est. S &amp; C"</f>
        <v>2.0% = Est. S &amp; C</v>
      </c>
      <c r="AA34" s="83" t="str">
        <f t="shared" si="14"/>
        <v>0.00%</v>
      </c>
      <c r="AB34" s="2">
        <f>ROUND(X34*(1+AC19),0)</f>
        <v>0</v>
      </c>
      <c r="AC34" s="36" t="str">
        <f>TEXT(AC19,"0.0%")&amp;" = Est. S &amp; C"</f>
        <v>2.0% = Est. S &amp; C</v>
      </c>
    </row>
    <row r="35" spans="1:29" hidden="1" x14ac:dyDescent="0.25">
      <c r="A35" s="66"/>
      <c r="B35" s="1326"/>
      <c r="D35" s="2">
        <v>0</v>
      </c>
      <c r="E35" s="1249"/>
      <c r="F35" s="2"/>
      <c r="G35" s="1527" t="str">
        <f t="shared" si="7"/>
        <v>0.00%</v>
      </c>
      <c r="H35" s="2">
        <f t="shared" si="8"/>
        <v>0</v>
      </c>
      <c r="I35" s="1257" t="str">
        <f t="shared" si="9"/>
        <v>0.0% = Est. S &amp; C</v>
      </c>
      <c r="J35" s="66"/>
      <c r="K35" s="1527" t="str">
        <f t="shared" si="10"/>
        <v>0.00%</v>
      </c>
      <c r="L35" s="2">
        <f>ROUND(H35*(1+M19),0)</f>
        <v>0</v>
      </c>
      <c r="M35" s="1257" t="str">
        <f>TEXT(M19,"0.0%")&amp;" = Est. S &amp; C"</f>
        <v>2.0% = Est. S &amp; C</v>
      </c>
      <c r="O35" s="1527" t="str">
        <f t="shared" si="11"/>
        <v>0.00%</v>
      </c>
      <c r="P35" s="2">
        <f>ROUND(L35*(1+Q19),0)</f>
        <v>0</v>
      </c>
      <c r="Q35" s="1257" t="str">
        <f>TEXT(Q19,"0.0%")&amp;" = Est. S &amp; C"</f>
        <v>2.0%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hidden="1" x14ac:dyDescent="0.25">
      <c r="A36" s="66"/>
      <c r="B36" s="1326"/>
      <c r="D36" s="2">
        <v>0</v>
      </c>
      <c r="E36" s="1249"/>
      <c r="F36" s="2"/>
      <c r="G36" s="1527" t="str">
        <f t="shared" si="7"/>
        <v>0.00%</v>
      </c>
      <c r="H36" s="2">
        <f t="shared" si="8"/>
        <v>0</v>
      </c>
      <c r="I36" s="1257" t="str">
        <f t="shared" si="9"/>
        <v>0.0% = Est. S &amp; C</v>
      </c>
      <c r="J36" s="66"/>
      <c r="K36" s="1527" t="str">
        <f t="shared" si="10"/>
        <v>0.00%</v>
      </c>
      <c r="L36" s="2">
        <f>ROUND(H36*(1+M19),0)</f>
        <v>0</v>
      </c>
      <c r="M36" s="1257" t="str">
        <f>TEXT(M19,"0.0%")&amp;" = Est. S &amp; C"</f>
        <v>2.0% = Est. S &amp; C</v>
      </c>
      <c r="O36" s="1527" t="str">
        <f t="shared" si="11"/>
        <v>0.00%</v>
      </c>
      <c r="P36" s="2">
        <f>ROUND(L36*(1+Q19),0)</f>
        <v>0</v>
      </c>
      <c r="Q36" s="1257" t="str">
        <f>TEXT(Q19,"0.0%")&amp;" = Est. S &amp; C"</f>
        <v>2.0% = Est. S &amp; C</v>
      </c>
      <c r="S36" s="83" t="str">
        <f t="shared" si="12"/>
        <v>0.00%</v>
      </c>
      <c r="T36" s="2">
        <f>ROUND(P36*(1+U19),0)</f>
        <v>0</v>
      </c>
      <c r="U36" s="36" t="str">
        <f>TEXT(U19,"0.0%")&amp;" = Est. S &amp; C"</f>
        <v>2.0% = Est. S &amp; C</v>
      </c>
      <c r="W36" s="83" t="str">
        <f t="shared" si="13"/>
        <v>0.00%</v>
      </c>
      <c r="X36" s="2">
        <f>ROUND(T36*(1+Y19),0)</f>
        <v>0</v>
      </c>
      <c r="Y36" s="36" t="str">
        <f>TEXT(Y19,"0.0%")&amp;" = Est. S &amp; C"</f>
        <v>2.0% = Est. S &amp; C</v>
      </c>
      <c r="AA36" s="83" t="str">
        <f t="shared" si="14"/>
        <v>0.00%</v>
      </c>
      <c r="AB36" s="2">
        <f>ROUND(X36*(1+AC19),0)</f>
        <v>0</v>
      </c>
      <c r="AC36" s="36" t="str">
        <f>TEXT(AC19,"0.0%")&amp;" = Est. S &amp; C"</f>
        <v>2.0% = Est. S &amp; C</v>
      </c>
    </row>
    <row r="37" spans="1:29" hidden="1" x14ac:dyDescent="0.25">
      <c r="A37" s="66"/>
      <c r="B37" s="1326"/>
      <c r="D37" s="2">
        <v>0</v>
      </c>
      <c r="E37" s="1249"/>
      <c r="F37" s="2"/>
      <c r="G37" s="1527" t="str">
        <f t="shared" si="7"/>
        <v>0.00%</v>
      </c>
      <c r="H37" s="2">
        <f t="shared" si="8"/>
        <v>0</v>
      </c>
      <c r="I37" s="1257" t="str">
        <f t="shared" si="9"/>
        <v>0.0% = Est. S &amp; C</v>
      </c>
      <c r="J37" s="66"/>
      <c r="K37" s="1527" t="str">
        <f t="shared" si="10"/>
        <v>0.00%</v>
      </c>
      <c r="L37" s="2">
        <f>ROUND(H37*(1+M19),0)</f>
        <v>0</v>
      </c>
      <c r="M37" s="1257" t="str">
        <f>TEXT(M19,"0.0%")&amp;" = Est. S &amp; C"</f>
        <v>2.0% = Est. S &amp; C</v>
      </c>
      <c r="O37" s="1527" t="str">
        <f t="shared" si="11"/>
        <v>0.00%</v>
      </c>
      <c r="P37" s="2">
        <f>ROUND(L37*(1+Q19),0)</f>
        <v>0</v>
      </c>
      <c r="Q37" s="1257" t="str">
        <f>TEXT(Q19,"0.0%")&amp;" = Est. S &amp; C"</f>
        <v>2.0% = Est. S &amp; C</v>
      </c>
      <c r="S37" s="83" t="str">
        <f t="shared" si="12"/>
        <v>0.00%</v>
      </c>
      <c r="T37" s="2">
        <f>ROUND(P37*(1+U19),0)</f>
        <v>0</v>
      </c>
      <c r="U37" s="36" t="str">
        <f>TEXT(U19,"0.0%")&amp;" = Est. S &amp; C"</f>
        <v>2.0% = Est. S &amp; C</v>
      </c>
      <c r="W37" s="83" t="str">
        <f t="shared" si="13"/>
        <v>0.00%</v>
      </c>
      <c r="X37" s="2">
        <f>ROUND(T37*(1+Y19),0)</f>
        <v>0</v>
      </c>
      <c r="Y37" s="36" t="str">
        <f>TEXT(Y19,"0.0%")&amp;" = Est. S &amp; C"</f>
        <v>2.0% = Est. S &amp; C</v>
      </c>
      <c r="AA37" s="83" t="str">
        <f t="shared" si="14"/>
        <v>0.00%</v>
      </c>
      <c r="AB37" s="2">
        <f>ROUND(X37*(1+AC19),0)</f>
        <v>0</v>
      </c>
      <c r="AC37" s="36" t="str">
        <f>TEXT(AC19,"0.0%")&amp;" = Est. S &amp; C"</f>
        <v>2.0% = Est. S &amp; C</v>
      </c>
    </row>
    <row r="38" spans="1:29" hidden="1" x14ac:dyDescent="0.25">
      <c r="A38" s="66"/>
      <c r="B38" s="1326"/>
      <c r="D38" s="2">
        <v>0</v>
      </c>
      <c r="E38" s="1249"/>
      <c r="F38" s="2"/>
      <c r="G38" s="1527" t="str">
        <f t="shared" si="7"/>
        <v>0.00%</v>
      </c>
      <c r="H38" s="2">
        <f t="shared" si="8"/>
        <v>0</v>
      </c>
      <c r="I38" s="1257" t="str">
        <f t="shared" si="9"/>
        <v>0.0% = Est. S &amp; C</v>
      </c>
      <c r="J38" s="66"/>
      <c r="K38" s="1527" t="str">
        <f t="shared" si="10"/>
        <v>0.00%</v>
      </c>
      <c r="L38" s="2">
        <f>ROUND(H38*(1+M19),0)</f>
        <v>0</v>
      </c>
      <c r="M38" s="1257" t="str">
        <f>TEXT(M19,"0.0%")&amp;" = Est. S &amp; C"</f>
        <v>2.0% = Est. S &amp; C</v>
      </c>
      <c r="O38" s="1527" t="str">
        <f t="shared" si="11"/>
        <v>0.00%</v>
      </c>
      <c r="P38" s="2">
        <f>ROUND(L38*(1+Q19),0)</f>
        <v>0</v>
      </c>
      <c r="Q38" s="1257" t="str">
        <f>TEXT(Q19,"0.0%")&amp;" = Est. S &amp; C"</f>
        <v>2.0%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t="6" hidden="1" customHeight="1" x14ac:dyDescent="0.25">
      <c r="A39" s="66"/>
      <c r="B39" s="1326"/>
      <c r="E39" s="1249"/>
      <c r="F39" s="2"/>
      <c r="H39" s="2"/>
      <c r="I39" s="1257"/>
      <c r="J39" s="66"/>
      <c r="L39" s="2"/>
      <c r="M39" s="1335"/>
      <c r="Q39" s="1335"/>
      <c r="T39" s="2"/>
      <c r="U39" s="73"/>
      <c r="X39" s="2"/>
      <c r="Y39" s="73"/>
      <c r="AB39" s="2"/>
      <c r="AC39" s="73"/>
    </row>
    <row r="40" spans="1:29" x14ac:dyDescent="0.25">
      <c r="A40" s="29"/>
      <c r="B40" s="1326"/>
      <c r="D40" s="8">
        <f>SUM(D32:D39)</f>
        <v>0</v>
      </c>
      <c r="E40" s="1249"/>
      <c r="F40" s="2"/>
      <c r="G40" s="1527" t="str">
        <f>IF(D40=0,"0.00%",(H40-D40)/D40)</f>
        <v>0.00%</v>
      </c>
      <c r="H40" s="8">
        <f>SUM(H32:H39)</f>
        <v>0</v>
      </c>
      <c r="I40" s="1258"/>
      <c r="J40" s="29"/>
      <c r="K40" s="1527" t="str">
        <f>IF(H40=0,"0.00%",(L40-H40)/H40)</f>
        <v>0.00%</v>
      </c>
      <c r="L40" s="8">
        <f>SUM(L32:L39)</f>
        <v>0</v>
      </c>
      <c r="M40" s="1335"/>
      <c r="O40" s="1527" t="str">
        <f>IF(L40=0,"0.00%",(P40-L40)/L40)</f>
        <v>0.00%</v>
      </c>
      <c r="P40" s="8">
        <f>SUM(P32:P39)</f>
        <v>0</v>
      </c>
      <c r="Q40" s="1335"/>
      <c r="S40" s="83" t="str">
        <f>IF(P40=0,"0.00%",(T40-P40)/P40)</f>
        <v>0.00%</v>
      </c>
      <c r="T40" s="8">
        <f>SUM(T32:T39)</f>
        <v>0</v>
      </c>
      <c r="U40" s="73"/>
      <c r="W40" s="83" t="str">
        <f>IF(T40=0,"0.00%",(X40-T40)/T40)</f>
        <v>0.00%</v>
      </c>
      <c r="X40" s="8">
        <f>SUM(X32:X39)</f>
        <v>0</v>
      </c>
      <c r="Y40" s="73"/>
      <c r="AA40" s="83" t="str">
        <f>IF(X40=0,"0.00%",(AB40-X40)/X40)</f>
        <v>0.00%</v>
      </c>
      <c r="AB40" s="8">
        <f>SUM(AB32:AB39)</f>
        <v>0</v>
      </c>
      <c r="AC40" s="73"/>
    </row>
    <row r="41" spans="1:29" x14ac:dyDescent="0.25">
      <c r="A41" s="66"/>
      <c r="B41" s="1317" t="s">
        <v>28</v>
      </c>
      <c r="E41" s="1249"/>
      <c r="F41" s="2"/>
      <c r="H41" s="2"/>
      <c r="I41" s="1257"/>
      <c r="J41" s="66"/>
      <c r="L41" s="2"/>
      <c r="M41" s="1335"/>
      <c r="Q41" s="1335"/>
      <c r="T41" s="2"/>
      <c r="U41" s="73"/>
      <c r="X41" s="2"/>
      <c r="Y41" s="73"/>
      <c r="AB41" s="2"/>
      <c r="AC41" s="73"/>
    </row>
    <row r="42" spans="1:29" x14ac:dyDescent="0.25">
      <c r="A42" s="57"/>
      <c r="B42" s="1323" t="s">
        <v>27</v>
      </c>
      <c r="E42" s="1249"/>
      <c r="F42" s="2"/>
      <c r="H42" s="2"/>
      <c r="I42" s="1257"/>
      <c r="J42" s="66"/>
      <c r="L42" s="2"/>
      <c r="M42" s="1335"/>
      <c r="Q42" s="1335"/>
      <c r="T42" s="2"/>
      <c r="U42" s="73"/>
      <c r="X42" s="2"/>
      <c r="Y42" s="73"/>
      <c r="AB42" s="2"/>
      <c r="AC42" s="73"/>
    </row>
    <row r="43" spans="1:29" x14ac:dyDescent="0.25">
      <c r="A43" s="66"/>
      <c r="B43" s="1326" t="s">
        <v>83</v>
      </c>
      <c r="C43" s="1243" t="s">
        <v>76</v>
      </c>
      <c r="D43" s="2">
        <v>21431</v>
      </c>
      <c r="E43" s="1240" t="str">
        <f>TEXT('MYP Assumptions'!$D$52,"0.00%")&amp;", STRS rate"</f>
        <v>12.58%, STRS rate</v>
      </c>
      <c r="F43" s="2"/>
      <c r="G43" s="1527">
        <f t="shared" ref="G43:G52" si="15">IF(D43=0,"0.00%",(H43-D43)/D43)</f>
        <v>0.17488684615743549</v>
      </c>
      <c r="H43" s="2">
        <v>25179</v>
      </c>
      <c r="I43" s="1240" t="str">
        <f>TEXT('MYP Assumptions'!E52,"0.00%")&amp;", projected STRS rate"</f>
        <v>14.43%, projected STRS rate</v>
      </c>
      <c r="J43" s="66"/>
      <c r="K43" s="1527">
        <f t="shared" ref="K43:K52" si="16">IF(H43=0,"0.00%",(L43-H43)/H43)</f>
        <v>0.15076055443027919</v>
      </c>
      <c r="L43" s="2">
        <f>ROUND(L29*LEFT(M43,6),0)</f>
        <v>28975</v>
      </c>
      <c r="M43" s="1240" t="str">
        <f>TEXT('MYP Assumptions'!F52,"0.00%")&amp;", projected STRS rate"</f>
        <v>16.28%, projected STRS rate</v>
      </c>
      <c r="O43" s="1527">
        <f t="shared" ref="O43:O52" si="17">IF(L43=0,"0.00%",(P43-L43)/L43)</f>
        <v>2.2226056945642794E-2</v>
      </c>
      <c r="P43" s="2">
        <f>ROUND(P29*LEFT(Q43,6),0)-2</f>
        <v>29619</v>
      </c>
      <c r="Q43" s="1240" t="str">
        <f>TEXT('MYP Assumptions'!G52,"0.00%")&amp;", projected STRS rate"</f>
        <v>18.13%, projected STRS rate</v>
      </c>
      <c r="S43" s="83">
        <f t="shared" ref="S43:S52" si="18">IF(P43=0,"0.00%",(T43-P43)/P43)</f>
        <v>0.19409838279482763</v>
      </c>
      <c r="T43" s="2">
        <f>ROUND(T29*LEFT(U43,6),0)</f>
        <v>35368</v>
      </c>
      <c r="U43" s="81" t="str">
        <f>TEXT('MYP Assumptions'!H52,"0.00%")&amp;", projected STRS rate"</f>
        <v>19.10%, projected STRS rate</v>
      </c>
      <c r="W43" s="83">
        <f t="shared" ref="W43:W52" si="19">IF(T43=0,"0.00%",(X43-T43)/T43)</f>
        <v>1.9989821307396516E-2</v>
      </c>
      <c r="X43" s="2">
        <f>ROUND(X29*LEFT(Y43,6),0)</f>
        <v>36075</v>
      </c>
      <c r="Y43" s="81" t="str">
        <f>TEXT('MYP Assumptions'!I52,"0.00%")&amp;", projected STRS rate"</f>
        <v>19.10%, projected STRS rate</v>
      </c>
      <c r="AA43" s="83">
        <f t="shared" ref="AA43:AA52" si="20">IF(X43=0,"0.00%",(AB43-X43)/X43)</f>
        <v>1.9986139986139986E-2</v>
      </c>
      <c r="AB43" s="2">
        <f>ROUND(AB29*LEFT(AC43,6),0)</f>
        <v>36796</v>
      </c>
      <c r="AC43" s="81" t="str">
        <f>TEXT('MYP Assumptions'!J52,"0.00%")&amp;", projected STRS rate"</f>
        <v>19.10%, projected STRS rate</v>
      </c>
    </row>
    <row r="44" spans="1:29" x14ac:dyDescent="0.25">
      <c r="A44" s="66"/>
      <c r="B44" s="1326" t="s">
        <v>84</v>
      </c>
      <c r="C44" s="1243" t="s">
        <v>77</v>
      </c>
      <c r="D44" s="2">
        <v>0</v>
      </c>
      <c r="E44" s="1240" t="str">
        <f>TEXT('MYP Assumptions'!$D$53,"0.00%")&amp;", PERS rate"</f>
        <v>13.89%, PERS rate</v>
      </c>
      <c r="F44" s="2"/>
      <c r="G44" s="1527" t="str">
        <f t="shared" si="15"/>
        <v>0.00%</v>
      </c>
      <c r="H44" s="2">
        <f>ROUND(H40*LEFT(I44,6),0)</f>
        <v>0</v>
      </c>
      <c r="I44" s="1240" t="str">
        <f>TEXT('MYP Assumptions'!E53,"0.00%")&amp;", projected PERS rate"</f>
        <v>15.53%, projected PERS rate</v>
      </c>
      <c r="J44" s="66"/>
      <c r="K44" s="1527" t="str">
        <f t="shared" si="16"/>
        <v>0.00%</v>
      </c>
      <c r="L44" s="2">
        <f>ROUND(L40*LEFT(M44,6),0)</f>
        <v>0</v>
      </c>
      <c r="M44" s="1240" t="str">
        <f>TEXT('MYP Assumptions'!F53,"0.00%")&amp;", projected PERS rate"</f>
        <v>18.10%, projected PERS rate</v>
      </c>
      <c r="O44" s="1527" t="str">
        <f t="shared" si="17"/>
        <v>0.00%</v>
      </c>
      <c r="P44" s="2">
        <f>ROUND(P40*LEFT(Q44,6),0)</f>
        <v>0</v>
      </c>
      <c r="Q44" s="1240" t="str">
        <f>TEXT('MYP Assumptions'!G53,"0.00%")&amp;", projected PERS rate"</f>
        <v>20.80%, projected PERS rate</v>
      </c>
      <c r="S44" s="83" t="str">
        <f t="shared" si="18"/>
        <v>0.00%</v>
      </c>
      <c r="T44" s="2">
        <f>ROUND(T40*LEFT(U44,6),0)</f>
        <v>0</v>
      </c>
      <c r="U44" s="81" t="str">
        <f>TEXT('MYP Assumptions'!H53,"0.00%")&amp;", projected PERS rate"</f>
        <v>23.80%, projected PERS rate</v>
      </c>
      <c r="W44" s="83" t="str">
        <f t="shared" si="19"/>
        <v>0.00%</v>
      </c>
      <c r="X44" s="2">
        <f>ROUND(X40*LEFT(Y44,6),0)</f>
        <v>0</v>
      </c>
      <c r="Y44" s="81" t="str">
        <f>TEXT('MYP Assumptions'!I53,"0.00%")&amp;", projected PERS rate"</f>
        <v>25.20%, projected PERS rate</v>
      </c>
      <c r="AA44" s="83" t="str">
        <f t="shared" si="20"/>
        <v>0.00%</v>
      </c>
      <c r="AB44" s="2">
        <f>ROUND(AB40*LEFT(AC44,6),0)</f>
        <v>0</v>
      </c>
      <c r="AC44" s="81" t="str">
        <f>TEXT('MYP Assumptions'!J53,"0.00%")&amp;", projected PERS rate"</f>
        <v>26.10%, projected PERS rate</v>
      </c>
    </row>
    <row r="45" spans="1:29" x14ac:dyDescent="0.25">
      <c r="A45" s="66"/>
      <c r="B45" s="1326" t="s">
        <v>85</v>
      </c>
      <c r="C45" s="1243" t="s">
        <v>78</v>
      </c>
      <c r="D45" s="2">
        <v>0</v>
      </c>
      <c r="E45" s="1240" t="str">
        <f>TEXT('MYP Assumptions'!$D$54,"0.00%")&amp;", SS rate"</f>
        <v>6.20%, SS rate</v>
      </c>
      <c r="F45" s="2"/>
      <c r="G45" s="1527" t="str">
        <f t="shared" si="15"/>
        <v>0.00%</v>
      </c>
      <c r="H45" s="2">
        <f>ROUND(H40*LEFT(I45,5),0)</f>
        <v>0</v>
      </c>
      <c r="I45" s="1240" t="str">
        <f>TEXT('MYP Assumptions'!E54,"0.00%")&amp;", no rate change"</f>
        <v>6.20%, no rate change</v>
      </c>
      <c r="J45" s="66"/>
      <c r="K45" s="1527" t="str">
        <f t="shared" si="16"/>
        <v>0.00%</v>
      </c>
      <c r="L45" s="2">
        <f>ROUND(L40*LEFT(M45,5),0)</f>
        <v>0</v>
      </c>
      <c r="M45" s="1240" t="str">
        <f>TEXT('MYP Assumptions'!F54,"0.00%")&amp;", no rate change"</f>
        <v>6.20%, no rate change</v>
      </c>
      <c r="O45" s="1527" t="str">
        <f t="shared" si="17"/>
        <v>0.00%</v>
      </c>
      <c r="P45" s="2">
        <f>ROUND(P40*LEFT(Q45,5),0)</f>
        <v>0</v>
      </c>
      <c r="Q45" s="1240" t="str">
        <f>TEXT('MYP Assumptions'!G54,"0.00%")&amp;", no rate change"</f>
        <v>6.20%, no rate change</v>
      </c>
      <c r="S45" s="83" t="str">
        <f t="shared" si="18"/>
        <v>0.00%</v>
      </c>
      <c r="T45" s="2">
        <f>ROUND(T40*LEFT(U45,5),0)</f>
        <v>0</v>
      </c>
      <c r="U45" s="81" t="str">
        <f>TEXT('MYP Assumptions'!H54,"0.00%")&amp;", no rate change"</f>
        <v>6.20%, no rate change</v>
      </c>
      <c r="W45" s="83" t="str">
        <f t="shared" si="19"/>
        <v>0.00%</v>
      </c>
      <c r="X45" s="2">
        <f>ROUND(X40*LEFT(Y45,5),0)</f>
        <v>0</v>
      </c>
      <c r="Y45" s="81" t="str">
        <f>TEXT('MYP Assumptions'!I54,"0.00%")&amp;", no rate change"</f>
        <v>6.20%, no rate change</v>
      </c>
      <c r="AA45" s="83" t="str">
        <f t="shared" si="20"/>
        <v>0.00%</v>
      </c>
      <c r="AB45" s="2">
        <f>ROUND(AB40*LEFT(AC45,5),0)</f>
        <v>0</v>
      </c>
      <c r="AC45" s="81" t="str">
        <f>TEXT('MYP Assumptions'!J54,"0.00%")&amp;", no rate change"</f>
        <v>6.20%, no rate change</v>
      </c>
    </row>
    <row r="46" spans="1:29" x14ac:dyDescent="0.25">
      <c r="A46" s="66"/>
      <c r="B46" s="1326" t="s">
        <v>86</v>
      </c>
      <c r="C46" s="1243" t="s">
        <v>79</v>
      </c>
      <c r="D46" s="2">
        <v>2422</v>
      </c>
      <c r="E46" s="1240" t="str">
        <f>TEXT('MYP Assumptions'!$D$55,"0.00%")&amp;", Medicare rate"</f>
        <v>1.45%, Medicare rate</v>
      </c>
      <c r="F46" s="2"/>
      <c r="G46" s="1527">
        <f t="shared" si="15"/>
        <v>5.6564822460776217E-2</v>
      </c>
      <c r="H46" s="2">
        <v>2559</v>
      </c>
      <c r="I46" s="1240" t="str">
        <f>TEXT('MYP Assumptions'!E55,"0.00%")&amp;", no rate change"</f>
        <v>1.45%, no rate change</v>
      </c>
      <c r="J46" s="66"/>
      <c r="K46" s="1527">
        <f t="shared" si="16"/>
        <v>8.5971082454083629E-3</v>
      </c>
      <c r="L46" s="2">
        <f>ROUND((L40+L29)*LEFT(M46,5),0)</f>
        <v>2581</v>
      </c>
      <c r="M46" s="1240" t="str">
        <f>TEXT('MYP Assumptions'!F55,"0.00%")&amp;", no rate change"</f>
        <v>1.45%, no rate change</v>
      </c>
      <c r="O46" s="1527">
        <f t="shared" si="17"/>
        <v>-8.2138705927934916E-2</v>
      </c>
      <c r="P46" s="2">
        <f>ROUND((P40+P29)*LEFT(Q46,5),0)</f>
        <v>2369</v>
      </c>
      <c r="Q46" s="1240" t="str">
        <f>TEXT('MYP Assumptions'!G55,"0.00%")&amp;", no rate change"</f>
        <v>1.45%, no rate change</v>
      </c>
      <c r="S46" s="83">
        <f t="shared" si="18"/>
        <v>0.1333896158716758</v>
      </c>
      <c r="T46" s="2">
        <f>ROUND((T40+T29)*LEFT(U46,5),0)</f>
        <v>2685</v>
      </c>
      <c r="U46" s="81" t="str">
        <f>TEXT('MYP Assumptions'!H55,"0.00%")&amp;", no rate change"</f>
        <v>1.45%, no rate change</v>
      </c>
      <c r="W46" s="83">
        <f t="shared" si="19"/>
        <v>2.0111731843575419E-2</v>
      </c>
      <c r="X46" s="2">
        <f>ROUND((X40+X29)*LEFT(Y46,5),0)</f>
        <v>2739</v>
      </c>
      <c r="Y46" s="81" t="str">
        <f>TEXT('MYP Assumptions'!I55,"0.00%")&amp;", no rate change"</f>
        <v>1.45%, no rate change</v>
      </c>
      <c r="AA46" s="83">
        <f t="shared" si="20"/>
        <v>1.9715224534501644E-2</v>
      </c>
      <c r="AB46" s="2">
        <f>ROUND((AB40+AB29)*LEFT(AC46,5),0)</f>
        <v>2793</v>
      </c>
      <c r="AC46" s="81" t="str">
        <f>TEXT('MYP Assumptions'!J55,"0.00%")&amp;", no rate change"</f>
        <v>1.45%, no rate change</v>
      </c>
    </row>
    <row r="47" spans="1:29" x14ac:dyDescent="0.25">
      <c r="A47" s="66"/>
      <c r="B47" s="1326" t="s">
        <v>87</v>
      </c>
      <c r="C47" s="1243" t="s">
        <v>80</v>
      </c>
      <c r="D47" s="2">
        <v>12606</v>
      </c>
      <c r="E47" s="1240"/>
      <c r="F47" s="2"/>
      <c r="G47" s="1527">
        <f t="shared" si="15"/>
        <v>7.0046009836585751E-2</v>
      </c>
      <c r="H47" s="2">
        <v>13489</v>
      </c>
      <c r="I47" s="1240" t="str">
        <f>TEXT('MYP Assumptions'!$M$62,"0.00%")&amp;", projected increase"</f>
        <v>7.00%, projected increase</v>
      </c>
      <c r="J47" s="66"/>
      <c r="K47" s="1527">
        <f t="shared" si="16"/>
        <v>6.9982949069612277E-2</v>
      </c>
      <c r="L47" s="2">
        <f>ROUND((H47)*(LEFT(M47,5)+1),0)</f>
        <v>14433</v>
      </c>
      <c r="M47" s="1240" t="str">
        <f>TEXT('MYP Assumptions'!$M$62,"0.00%")&amp;", projected increase"</f>
        <v>7.00%, projected increase</v>
      </c>
      <c r="O47" s="1527">
        <f t="shared" si="17"/>
        <v>6.9978521443913255E-2</v>
      </c>
      <c r="P47" s="2">
        <f>ROUND((L47)*(LEFT(Q47,5)+1),0)</f>
        <v>15443</v>
      </c>
      <c r="Q47" s="1240" t="str">
        <f>TEXT('MYP Assumptions'!$M$62,"0.00%")&amp;", projected increase"</f>
        <v>7.00%, projected increase</v>
      </c>
      <c r="S47" s="83">
        <f t="shared" si="18"/>
        <v>6.9999352457424072E-2</v>
      </c>
      <c r="T47" s="2">
        <f>ROUND((P47)*(LEFT(U47,5)+1),0)</f>
        <v>16524</v>
      </c>
      <c r="U47" s="81" t="str">
        <f>TEXT('MYP Assumptions'!$M$62,"0.00%")&amp;", projected increase"</f>
        <v>7.00%, projected increase</v>
      </c>
      <c r="W47" s="83">
        <f t="shared" si="19"/>
        <v>7.0019365770999764E-2</v>
      </c>
      <c r="X47" s="2">
        <f>ROUND((T47)*(LEFT(Y47,5)+1),0)</f>
        <v>17681</v>
      </c>
      <c r="Y47" s="81" t="str">
        <f>TEXT('MYP Assumptions'!$M$62,"0.00%")&amp;", projected increase"</f>
        <v>7.00%, projected increase</v>
      </c>
      <c r="AA47" s="83">
        <f t="shared" si="20"/>
        <v>7.0018664102709127E-2</v>
      </c>
      <c r="AB47" s="2">
        <f>ROUND((X47)*(LEFT(AC47,5)+1),0)</f>
        <v>18919</v>
      </c>
      <c r="AC47" s="81" t="str">
        <f>TEXT('MYP Assumptions'!$M$62,"0.00%")&amp;", projected increase"</f>
        <v>7.00%, projected increase</v>
      </c>
    </row>
    <row r="48" spans="1:29" x14ac:dyDescent="0.25">
      <c r="A48" s="66"/>
      <c r="B48" s="1326" t="s">
        <v>88</v>
      </c>
      <c r="C48" s="1243" t="s">
        <v>81</v>
      </c>
      <c r="D48" s="2">
        <v>86</v>
      </c>
      <c r="E48" s="1240" t="str">
        <f>TEXT('MYP Assumptions'!$D$56,"0.00%")&amp;", SUI rate"</f>
        <v>0.05%, SUI rate</v>
      </c>
      <c r="F48" s="2"/>
      <c r="G48" s="1527">
        <f t="shared" si="15"/>
        <v>2.3255813953488372E-2</v>
      </c>
      <c r="H48" s="2">
        <v>88</v>
      </c>
      <c r="I48" s="1240" t="str">
        <f>TEXT('MYP Assumptions'!E56,"0.00%")&amp;", no rate change"</f>
        <v>0.05%, no rate change</v>
      </c>
      <c r="J48" s="66"/>
      <c r="K48" s="1527">
        <f t="shared" si="16"/>
        <v>1.1363636363636364E-2</v>
      </c>
      <c r="L48" s="2">
        <f>ROUND((L40+L29)*LEFT(M48,5),0)</f>
        <v>89</v>
      </c>
      <c r="M48" s="1240" t="str">
        <f>TEXT('MYP Assumptions'!F56,"0.00%")&amp;", no rate change"</f>
        <v>0.05%, no rate change</v>
      </c>
      <c r="O48" s="1527">
        <f t="shared" si="17"/>
        <v>-7.8651685393258425E-2</v>
      </c>
      <c r="P48" s="2">
        <f>ROUND((P40+P29)*LEFT(Q48,5),0)</f>
        <v>82</v>
      </c>
      <c r="Q48" s="1240" t="str">
        <f>TEXT('MYP Assumptions'!G56,"0.00%")&amp;", no rate change"</f>
        <v>0.05%, no rate change</v>
      </c>
      <c r="S48" s="83">
        <f t="shared" si="18"/>
        <v>0.13414634146341464</v>
      </c>
      <c r="T48" s="2">
        <f>ROUND((T40+T29)*LEFT(U48,5),0)</f>
        <v>93</v>
      </c>
      <c r="U48" s="81" t="str">
        <f>TEXT('MYP Assumptions'!H56,"0.00%")&amp;", no rate change"</f>
        <v>0.05%, no rate change</v>
      </c>
      <c r="W48" s="83">
        <f t="shared" si="19"/>
        <v>1.0752688172043012E-2</v>
      </c>
      <c r="X48" s="2">
        <f>ROUND((X40+X29)*LEFT(Y48,5),0)</f>
        <v>94</v>
      </c>
      <c r="Y48" s="81" t="str">
        <f>TEXT('MYP Assumptions'!I56,"0.00%")&amp;", no rate change"</f>
        <v>0.05%, no rate change</v>
      </c>
      <c r="AA48" s="83">
        <f t="shared" si="20"/>
        <v>2.1276595744680851E-2</v>
      </c>
      <c r="AB48" s="2">
        <f>ROUND((AB40+AB29)*LEFT(AC48,5),0)</f>
        <v>96</v>
      </c>
      <c r="AC48" s="81" t="str">
        <f>TEXT('MYP Assumptions'!J56,"0.00%")&amp;", no rate change"</f>
        <v>0.05%, no rate change</v>
      </c>
    </row>
    <row r="49" spans="1:29" x14ac:dyDescent="0.25">
      <c r="A49" s="66"/>
      <c r="B49" s="1326" t="s">
        <v>89</v>
      </c>
      <c r="C49" s="1243" t="s">
        <v>82</v>
      </c>
      <c r="D49" s="2">
        <v>1882</v>
      </c>
      <c r="E49" s="1240" t="str">
        <f>TEXT('MYP Assumptions'!$D$57,"0.00%")&amp;", W/C rate"</f>
        <v>1.10%, W/C rate</v>
      </c>
      <c r="F49" s="2"/>
      <c r="G49" s="1527">
        <f t="shared" si="15"/>
        <v>3.1349628055260363E-2</v>
      </c>
      <c r="H49" s="2">
        <v>1941</v>
      </c>
      <c r="I49" s="1240" t="str">
        <f>TEXT('MYP Assumptions'!E57,"0.00%")&amp;", no rate change"</f>
        <v>1.10%, no rate change</v>
      </c>
      <c r="J49" s="66"/>
      <c r="K49" s="1527">
        <f t="shared" si="16"/>
        <v>8.7583719732096856E-3</v>
      </c>
      <c r="L49" s="2">
        <f>ROUND((L40+L29)*LEFT(M49,5),0)</f>
        <v>1958</v>
      </c>
      <c r="M49" s="1240" t="str">
        <f>TEXT('MYP Assumptions'!F57,"0.00%")&amp;", no rate change"</f>
        <v>1.10%, no rate change</v>
      </c>
      <c r="O49" s="1527">
        <f t="shared" si="17"/>
        <v>-8.2226762002042902E-2</v>
      </c>
      <c r="P49" s="2">
        <f>ROUND((P40+P29)*LEFT(Q49,5),0)</f>
        <v>1797</v>
      </c>
      <c r="Q49" s="1240" t="str">
        <f>TEXT('MYP Assumptions'!G57,"0.00%")&amp;", no rate change"</f>
        <v>1.10%, no rate change</v>
      </c>
      <c r="S49" s="83">
        <f t="shared" si="18"/>
        <v>0.13355592654424039</v>
      </c>
      <c r="T49" s="2">
        <f>ROUND((T40+T29)*LEFT(U49,5),0)</f>
        <v>2037</v>
      </c>
      <c r="U49" s="81" t="str">
        <f>TEXT('MYP Assumptions'!H57,"0.00%")&amp;", no rate change"</f>
        <v>1.10%, no rate change</v>
      </c>
      <c r="W49" s="83">
        <f t="shared" si="19"/>
        <v>2.0127638684339717E-2</v>
      </c>
      <c r="X49" s="2">
        <f>ROUND((X40+X29)*LEFT(Y49,5),0)</f>
        <v>2078</v>
      </c>
      <c r="Y49" s="81" t="str">
        <f>TEXT('MYP Assumptions'!I57,"0.00%")&amp;", no rate change"</f>
        <v>1.10%, no rate change</v>
      </c>
      <c r="AA49" s="83">
        <f t="shared" si="20"/>
        <v>1.973051010587103E-2</v>
      </c>
      <c r="AB49" s="2">
        <f>ROUND((AB40+AB29)*LEFT(AC49,5),0)</f>
        <v>2119</v>
      </c>
      <c r="AC49" s="81" t="str">
        <f>TEXT('MYP Assumptions'!J57,"0.00%")&amp;", no rate change"</f>
        <v>1.10%, no rate change</v>
      </c>
    </row>
    <row r="50" spans="1:29" x14ac:dyDescent="0.25">
      <c r="A50" s="66"/>
      <c r="B50" s="1326" t="s">
        <v>91</v>
      </c>
      <c r="C50" s="1243" t="s">
        <v>93</v>
      </c>
      <c r="D50" s="2">
        <f>260+1940</f>
        <v>2200</v>
      </c>
      <c r="E50" s="1249"/>
      <c r="F50" s="2"/>
      <c r="G50" s="1527">
        <f t="shared" ref="G50" si="21">IF(D50=0,"0.00%",(H50-D50)/D50)</f>
        <v>-9.0909090909090912E-2</v>
      </c>
      <c r="H50" s="2">
        <v>2000</v>
      </c>
      <c r="I50" s="1240"/>
      <c r="J50" s="66"/>
      <c r="K50" s="1527">
        <f t="shared" ref="K50" si="22">IF(H50=0,"0.00%",(L50-H50)/H50)</f>
        <v>0</v>
      </c>
      <c r="L50" s="2">
        <f>H50</f>
        <v>2000</v>
      </c>
      <c r="M50" s="1240" t="s">
        <v>166</v>
      </c>
      <c r="O50" s="1527">
        <f t="shared" ref="O50" si="23">IF(L50=0,"0.00%",(P50-L50)/L50)</f>
        <v>0</v>
      </c>
      <c r="P50" s="2">
        <f>L50</f>
        <v>2000</v>
      </c>
      <c r="Q50" s="1240" t="s">
        <v>166</v>
      </c>
      <c r="S50" s="83">
        <f t="shared" ref="S50" si="24">IF(P50=0,"0.00%",(T50-P50)/P50)</f>
        <v>0</v>
      </c>
      <c r="T50" s="2">
        <f>P50</f>
        <v>2000</v>
      </c>
      <c r="U50" s="81" t="s">
        <v>166</v>
      </c>
      <c r="W50" s="83">
        <f t="shared" ref="W50" si="25">IF(T50=0,"0.00%",(X50-T50)/T50)</f>
        <v>0</v>
      </c>
      <c r="X50" s="2">
        <f>T50</f>
        <v>2000</v>
      </c>
      <c r="Y50" s="81" t="s">
        <v>166</v>
      </c>
      <c r="AA50" s="83">
        <f t="shared" ref="AA50" si="26">IF(X50=0,"0.00%",(AB50-X50)/X50)</f>
        <v>0</v>
      </c>
      <c r="AB50" s="2">
        <f>X50</f>
        <v>2000</v>
      </c>
      <c r="AC50" s="81" t="s">
        <v>166</v>
      </c>
    </row>
    <row r="51" spans="1:29" x14ac:dyDescent="0.25">
      <c r="A51" s="66"/>
      <c r="B51" s="1326"/>
      <c r="E51" s="1249"/>
      <c r="F51" s="2"/>
      <c r="G51" s="1527"/>
      <c r="H51" s="2"/>
      <c r="I51" s="1240"/>
      <c r="J51" s="66"/>
      <c r="K51" s="1527"/>
      <c r="L51" s="2"/>
      <c r="M51" s="1240"/>
      <c r="O51" s="1527"/>
      <c r="Q51" s="1240"/>
      <c r="S51" s="83"/>
      <c r="T51" s="2"/>
      <c r="U51" s="81"/>
      <c r="W51" s="83"/>
      <c r="X51" s="2"/>
      <c r="Y51" s="81"/>
      <c r="AA51" s="83"/>
      <c r="AB51" s="2"/>
      <c r="AC51" s="81"/>
    </row>
    <row r="52" spans="1:29" x14ac:dyDescent="0.25">
      <c r="A52" s="29"/>
      <c r="B52" s="1326"/>
      <c r="D52" s="8">
        <f>SUM(D43:D51)</f>
        <v>40627</v>
      </c>
      <c r="E52" s="1249"/>
      <c r="F52" s="2"/>
      <c r="G52" s="1527">
        <f t="shared" si="15"/>
        <v>0.11393900607970069</v>
      </c>
      <c r="H52" s="8">
        <f>SUM(H43:H51)</f>
        <v>45256</v>
      </c>
      <c r="I52" s="1882">
        <f>+H52-D52</f>
        <v>4629</v>
      </c>
      <c r="J52" s="29"/>
      <c r="K52" s="1527">
        <f t="shared" si="16"/>
        <v>0.10562135407459784</v>
      </c>
      <c r="L52" s="8">
        <f>SUM(L43:L51)</f>
        <v>50036</v>
      </c>
      <c r="M52" s="1882">
        <f>+L52-H52</f>
        <v>4780</v>
      </c>
      <c r="O52" s="1527">
        <f t="shared" si="17"/>
        <v>2.5461667599328483E-2</v>
      </c>
      <c r="P52" s="8">
        <f>SUM(P43:P51)</f>
        <v>51310</v>
      </c>
      <c r="Q52" s="1882">
        <f>+P52-L52</f>
        <v>1274</v>
      </c>
      <c r="S52" s="83">
        <f t="shared" si="18"/>
        <v>0.14416293120249465</v>
      </c>
      <c r="T52" s="8">
        <f>SUM(T43:T51)</f>
        <v>58707</v>
      </c>
      <c r="U52" s="73"/>
      <c r="W52" s="83">
        <f t="shared" si="19"/>
        <v>3.3386137939257668E-2</v>
      </c>
      <c r="X52" s="8">
        <f>SUM(X43:X51)</f>
        <v>60667</v>
      </c>
      <c r="Y52" s="73"/>
      <c r="AA52" s="83">
        <f t="shared" si="20"/>
        <v>3.3889923681738016E-2</v>
      </c>
      <c r="AB52" s="8">
        <f>SUM(AB43:AB51)</f>
        <v>62723</v>
      </c>
      <c r="AC52" s="73"/>
    </row>
    <row r="53" spans="1:29" x14ac:dyDescent="0.25">
      <c r="A53" s="57"/>
      <c r="B53" s="1326"/>
      <c r="E53" s="1249"/>
      <c r="F53" s="2"/>
      <c r="H53" s="2"/>
      <c r="I53" s="1257"/>
      <c r="J53" s="66"/>
      <c r="L53" s="2"/>
      <c r="M53" s="1335"/>
      <c r="Q53" s="1335"/>
      <c r="T53" s="2"/>
      <c r="U53" s="73"/>
      <c r="X53" s="2"/>
      <c r="Y53" s="73"/>
      <c r="AB53" s="2"/>
      <c r="AC53" s="73"/>
    </row>
    <row r="54" spans="1:29" x14ac:dyDescent="0.25">
      <c r="A54" s="29"/>
      <c r="B54" s="1323" t="s">
        <v>26</v>
      </c>
      <c r="D54" s="8">
        <f>SUM(D52,D40,D29)</f>
        <v>186462.78</v>
      </c>
      <c r="E54" s="1249"/>
      <c r="F54" s="2"/>
      <c r="G54" s="1527">
        <f>IF(D54=0,"0.00%",(H54-D54)/D54)</f>
        <v>0.17849792864828037</v>
      </c>
      <c r="H54" s="8">
        <f>SUM(H52,H40,H29)</f>
        <v>219746</v>
      </c>
      <c r="I54" s="1882">
        <f>+H54-D54</f>
        <v>33283.22</v>
      </c>
      <c r="J54" s="29"/>
      <c r="K54" s="1527">
        <f>IF(H54=0,"0.00%",(L54-H54)/H54)</f>
        <v>3.7634359669800589E-2</v>
      </c>
      <c r="L54" s="8">
        <f>SUM(L52,L40,L29)</f>
        <v>228016</v>
      </c>
      <c r="M54" s="1882">
        <f>+L54-H54</f>
        <v>8270</v>
      </c>
      <c r="O54" s="1527">
        <f>IF(L54=0,"0.00%",(P54-L54)/L54)</f>
        <v>-5.8443267139148131E-2</v>
      </c>
      <c r="P54" s="8">
        <f>SUM(P52,P40,P29)</f>
        <v>214690</v>
      </c>
      <c r="Q54" s="1882">
        <f>+P54-L54</f>
        <v>-13326</v>
      </c>
      <c r="S54" s="83">
        <f>IF(P54=0,"0.00%",(T54-P54)/P54)</f>
        <v>0.13595416647258837</v>
      </c>
      <c r="T54" s="8">
        <f>SUM(T52,T40,T29)</f>
        <v>243878</v>
      </c>
      <c r="U54" s="73"/>
      <c r="W54" s="83">
        <f>IF(T54=0,"0.00%",(X54-T54)/T54)</f>
        <v>2.3220626706796022E-2</v>
      </c>
      <c r="X54" s="8">
        <f>SUM(X52,X40,X29)</f>
        <v>249541</v>
      </c>
      <c r="Y54" s="73"/>
      <c r="AA54" s="83">
        <f>IF(X54=0,"0.00%",(AB54-X54)/X54)</f>
        <v>2.3374916346412013E-2</v>
      </c>
      <c r="AB54" s="8">
        <f>SUM(AB52,AB40,AB29)</f>
        <v>255374</v>
      </c>
      <c r="AC54" s="73"/>
    </row>
    <row r="55" spans="1:29" x14ac:dyDescent="0.25">
      <c r="A55" s="59"/>
      <c r="E55" s="1249"/>
      <c r="F55" s="2"/>
      <c r="H55" s="2"/>
      <c r="I55" s="1257"/>
      <c r="J55" s="66"/>
      <c r="L55" s="2"/>
      <c r="M55" s="1335"/>
      <c r="Q55" s="1335"/>
      <c r="T55" s="2"/>
      <c r="U55" s="73"/>
      <c r="X55" s="2"/>
      <c r="Y55" s="73"/>
      <c r="AB55" s="2"/>
      <c r="AC55" s="73"/>
    </row>
    <row r="56" spans="1:29" x14ac:dyDescent="0.25">
      <c r="A56" s="66"/>
      <c r="E56" s="1249"/>
      <c r="F56" s="2"/>
      <c r="H56" s="2"/>
      <c r="I56" s="1257"/>
      <c r="J56" s="66"/>
      <c r="L56" s="2"/>
      <c r="M56" s="1335"/>
      <c r="Q56" s="1335"/>
      <c r="T56" s="2"/>
      <c r="U56" s="73"/>
      <c r="X56" s="2"/>
      <c r="Y56" s="73"/>
      <c r="AB56" s="2"/>
      <c r="AC56" s="73"/>
    </row>
    <row r="57" spans="1:29" x14ac:dyDescent="0.25">
      <c r="A57" s="59"/>
      <c r="B57" s="1327" t="s">
        <v>25</v>
      </c>
      <c r="C57" s="1259"/>
      <c r="E57" s="1249"/>
      <c r="F57" s="2"/>
      <c r="H57" s="2"/>
      <c r="I57" s="1257"/>
      <c r="J57" s="66"/>
      <c r="L57" s="2"/>
      <c r="M57" s="1335"/>
      <c r="Q57" s="1335"/>
      <c r="T57" s="2"/>
      <c r="U57" s="73"/>
      <c r="X57" s="2"/>
      <c r="Y57" s="73"/>
      <c r="AB57" s="2"/>
      <c r="AC57" s="73"/>
    </row>
    <row r="58" spans="1:29" hidden="1" x14ac:dyDescent="0.25">
      <c r="A58" s="66"/>
      <c r="B58" s="1326" t="s">
        <v>24</v>
      </c>
      <c r="C58" s="1243" t="s">
        <v>23</v>
      </c>
      <c r="D58" s="2">
        <v>0</v>
      </c>
      <c r="E58" s="1249"/>
      <c r="F58" s="2"/>
      <c r="G58" s="1527" t="str">
        <f t="shared" ref="G58:G65" si="27">IF(D58=0,"0.00%",(H58-D58)/D58)</f>
        <v>0.00%</v>
      </c>
      <c r="H58" s="2">
        <f t="shared" ref="H58:H64" si="28">ROUND(D58*(LEFT(I58,5)+1),0)</f>
        <v>0</v>
      </c>
      <c r="I58" s="1240" t="str">
        <f>TEXT('MYP Assumptions'!E72,"0.00%")&amp;", CPI"</f>
        <v>3.11%, CPI</v>
      </c>
      <c r="J58" s="66"/>
      <c r="K58" s="1527" t="str">
        <f t="shared" ref="K58:K65" si="29">IF(H58=0,"0.00%",(L58-H58)/H58)</f>
        <v>0.00%</v>
      </c>
      <c r="L58" s="2">
        <f>ROUND(H58*(LEFT(M58,5)+1),0)</f>
        <v>0</v>
      </c>
      <c r="M58" s="1240" t="str">
        <f>TEXT('MYP Assumptions'!F72,"0.00%")&amp;", CPI"</f>
        <v>3.19%, CPI</v>
      </c>
      <c r="O58" s="1527" t="str">
        <f t="shared" ref="O58:O65" si="30">IF(L58=0,"0.00%",(P58-L58)/L58)</f>
        <v>0.00%</v>
      </c>
      <c r="P58" s="2">
        <f>ROUND(L58*(LEFT(Q58,5)+1),0)</f>
        <v>0</v>
      </c>
      <c r="Q58" s="1240" t="str">
        <f>TEXT('MYP Assumptions'!G72,"0.00%")&amp;", CPI"</f>
        <v>2.86%, CPI</v>
      </c>
      <c r="S58" s="83" t="str">
        <f t="shared" ref="S58:S65" si="31">IF(P58=0,"0.00%",(T58-P58)/P58)</f>
        <v>0.00%</v>
      </c>
      <c r="T58" s="2">
        <f t="shared" ref="T58:T64" si="32">ROUND(P58*(LEFT(U58,5)+1),0)</f>
        <v>0</v>
      </c>
      <c r="U58" s="81" t="str">
        <f>TEXT('MYP Assumptions'!H72,"0.00%")&amp;", CPI"</f>
        <v>2.73%, CPI</v>
      </c>
      <c r="W58" s="83" t="str">
        <f t="shared" ref="W58:W65" si="33">IF(T58=0,"0.00%",(X58-T58)/T58)</f>
        <v>0.00%</v>
      </c>
      <c r="X58" s="2">
        <f>ROUND(T58*(LEFT(Y58,5)+1),0)</f>
        <v>0</v>
      </c>
      <c r="Y58" s="81" t="str">
        <f>TEXT('MYP Assumptions'!I72,"0.00%")&amp;", CPI"</f>
        <v>2.73%, CPI</v>
      </c>
      <c r="AA58" s="83" t="str">
        <f t="shared" ref="AA58:AA65" si="34">IF(X58=0,"0.00%",(AB58-X58)/X58)</f>
        <v>0.00%</v>
      </c>
      <c r="AB58" s="2">
        <f>ROUND(X58*(LEFT(AC58,5)+1),0)</f>
        <v>0</v>
      </c>
      <c r="AC58" s="81" t="str">
        <f>TEXT('MYP Assumptions'!J72,"0.00%")&amp;", CPI"</f>
        <v>2.73%, CPI</v>
      </c>
    </row>
    <row r="59" spans="1:29" hidden="1" x14ac:dyDescent="0.25">
      <c r="A59" s="66"/>
      <c r="B59" s="1326" t="s">
        <v>94</v>
      </c>
      <c r="C59" s="1243" t="s">
        <v>96</v>
      </c>
      <c r="D59" s="2">
        <v>0</v>
      </c>
      <c r="E59" s="1249"/>
      <c r="F59" s="2"/>
      <c r="G59" s="1527" t="str">
        <f t="shared" si="27"/>
        <v>0.00%</v>
      </c>
      <c r="H59" s="2">
        <f t="shared" si="28"/>
        <v>0</v>
      </c>
      <c r="I59" s="1240" t="str">
        <f>TEXT('MYP Assumptions'!E72,"0.00%")&amp;", CPI"</f>
        <v>3.11%, CPI</v>
      </c>
      <c r="J59" s="66"/>
      <c r="K59" s="1527" t="str">
        <f t="shared" si="29"/>
        <v>0.00%</v>
      </c>
      <c r="L59" s="2">
        <f t="shared" ref="L59:L64" si="35">ROUND(H59*(LEFT(M59,5)+1),0)</f>
        <v>0</v>
      </c>
      <c r="M59" s="1240" t="str">
        <f>TEXT('MYP Assumptions'!F72,"0.00%")&amp;", CPI"</f>
        <v>3.19%, CPI</v>
      </c>
      <c r="O59" s="1527" t="str">
        <f t="shared" si="30"/>
        <v>0.00%</v>
      </c>
      <c r="P59" s="2">
        <f t="shared" ref="P59:P64" si="36">ROUND(L59*(LEFT(Q59,5)+1),0)</f>
        <v>0</v>
      </c>
      <c r="Q59" s="1240" t="str">
        <f>TEXT('MYP Assumptions'!G72,"0.00%")&amp;", CPI"</f>
        <v>2.86%, CPI</v>
      </c>
      <c r="S59" s="83" t="str">
        <f t="shared" si="31"/>
        <v>0.00%</v>
      </c>
      <c r="T59" s="2">
        <f t="shared" si="32"/>
        <v>0</v>
      </c>
      <c r="U59" s="81" t="str">
        <f>TEXT('MYP Assumptions'!H72,"0.00%")&amp;", CPI"</f>
        <v>2.73%, CPI</v>
      </c>
      <c r="W59" s="83" t="str">
        <f t="shared" si="33"/>
        <v>0.00%</v>
      </c>
      <c r="X59" s="2">
        <f t="shared" ref="X59:X64" si="37">ROUND(T59*(LEFT(Y59,5)+1),0)</f>
        <v>0</v>
      </c>
      <c r="Y59" s="81" t="str">
        <f>TEXT('MYP Assumptions'!I72,"0.00%")&amp;", CPI"</f>
        <v>2.73%, CPI</v>
      </c>
      <c r="AA59" s="83" t="str">
        <f t="shared" si="34"/>
        <v>0.00%</v>
      </c>
      <c r="AB59" s="2">
        <f t="shared" ref="AB59:AB64" si="38">ROUND(X59*(LEFT(AC59,5)+1),0)</f>
        <v>0</v>
      </c>
      <c r="AC59" s="81" t="str">
        <f>TEXT('MYP Assumptions'!J72,"0.00%")&amp;", CPI"</f>
        <v>2.73%, CPI</v>
      </c>
    </row>
    <row r="60" spans="1:29" hidden="1" x14ac:dyDescent="0.25">
      <c r="A60" s="66"/>
      <c r="B60" s="1326" t="s">
        <v>95</v>
      </c>
      <c r="C60" s="1243" t="s">
        <v>97</v>
      </c>
      <c r="D60" s="2">
        <v>0</v>
      </c>
      <c r="E60" s="1249"/>
      <c r="F60" s="2"/>
      <c r="G60" s="1527" t="str">
        <f t="shared" si="27"/>
        <v>0.00%</v>
      </c>
      <c r="H60" s="2">
        <f t="shared" si="28"/>
        <v>0</v>
      </c>
      <c r="I60" s="1240" t="str">
        <f>TEXT('MYP Assumptions'!E72,"0.00%")&amp;", CPI"</f>
        <v>3.11%, CPI</v>
      </c>
      <c r="J60" s="66"/>
      <c r="K60" s="1527" t="str">
        <f t="shared" si="29"/>
        <v>0.00%</v>
      </c>
      <c r="L60" s="2">
        <f t="shared" si="35"/>
        <v>0</v>
      </c>
      <c r="M60" s="1240" t="str">
        <f>TEXT('MYP Assumptions'!F72,"0.00%")&amp;", CPI"</f>
        <v>3.19%, CPI</v>
      </c>
      <c r="O60" s="1527" t="str">
        <f t="shared" si="30"/>
        <v>0.00%</v>
      </c>
      <c r="P60" s="2">
        <f t="shared" si="36"/>
        <v>0</v>
      </c>
      <c r="Q60" s="1240" t="str">
        <f>TEXT('MYP Assumptions'!G72,"0.00%")&amp;", CPI"</f>
        <v>2.86%, CPI</v>
      </c>
      <c r="S60" s="83" t="str">
        <f t="shared" si="31"/>
        <v>0.00%</v>
      </c>
      <c r="T60" s="2">
        <f t="shared" si="32"/>
        <v>0</v>
      </c>
      <c r="U60" s="81" t="str">
        <f>TEXT('MYP Assumptions'!H72,"0.00%")&amp;", CPI"</f>
        <v>2.73%, CPI</v>
      </c>
      <c r="W60" s="83" t="str">
        <f t="shared" si="33"/>
        <v>0.00%</v>
      </c>
      <c r="X60" s="2">
        <f t="shared" si="37"/>
        <v>0</v>
      </c>
      <c r="Y60" s="81" t="str">
        <f>TEXT('MYP Assumptions'!I72,"0.00%")&amp;", CPI"</f>
        <v>2.73%, CPI</v>
      </c>
      <c r="AA60" s="83" t="str">
        <f t="shared" si="34"/>
        <v>0.00%</v>
      </c>
      <c r="AB60" s="2">
        <f t="shared" si="38"/>
        <v>0</v>
      </c>
      <c r="AC60" s="81" t="str">
        <f>TEXT('MYP Assumptions'!J72,"0.00%")&amp;", CPI"</f>
        <v>2.73%, CPI</v>
      </c>
    </row>
    <row r="61" spans="1:29" hidden="1" x14ac:dyDescent="0.25">
      <c r="A61" s="66"/>
      <c r="B61" s="1326" t="s">
        <v>22</v>
      </c>
      <c r="C61" s="1243" t="s">
        <v>21</v>
      </c>
      <c r="D61" s="2">
        <v>0</v>
      </c>
      <c r="E61" s="1249"/>
      <c r="F61" s="2"/>
      <c r="G61" s="1527" t="str">
        <f t="shared" si="27"/>
        <v>0.00%</v>
      </c>
      <c r="H61" s="2">
        <f t="shared" si="28"/>
        <v>0</v>
      </c>
      <c r="I61" s="1240" t="str">
        <f>TEXT('MYP Assumptions'!E72,"0.00%")&amp;", CPI"</f>
        <v>3.11%, CPI</v>
      </c>
      <c r="J61" s="66"/>
      <c r="K61" s="1527" t="str">
        <f t="shared" si="29"/>
        <v>0.00%</v>
      </c>
      <c r="L61" s="2">
        <f t="shared" si="35"/>
        <v>0</v>
      </c>
      <c r="M61" s="1240" t="str">
        <f>TEXT('MYP Assumptions'!F72,"0.00%")&amp;", CPI"</f>
        <v>3.19%, CPI</v>
      </c>
      <c r="O61" s="1527" t="str">
        <f t="shared" si="30"/>
        <v>0.00%</v>
      </c>
      <c r="P61" s="2">
        <f t="shared" si="36"/>
        <v>0</v>
      </c>
      <c r="Q61" s="1240" t="str">
        <f>TEXT('MYP Assumptions'!G72,"0.00%")&amp;", CPI"</f>
        <v>2.86%, CPI</v>
      </c>
      <c r="S61" s="83" t="str">
        <f t="shared" si="31"/>
        <v>0.00%</v>
      </c>
      <c r="T61" s="2">
        <f t="shared" si="32"/>
        <v>0</v>
      </c>
      <c r="U61" s="81" t="str">
        <f>TEXT('MYP Assumptions'!H72,"0.00%")&amp;", CPI"</f>
        <v>2.73%, CPI</v>
      </c>
      <c r="W61" s="83" t="str">
        <f t="shared" si="33"/>
        <v>0.00%</v>
      </c>
      <c r="X61" s="2">
        <f t="shared" si="37"/>
        <v>0</v>
      </c>
      <c r="Y61" s="81" t="str">
        <f>TEXT('MYP Assumptions'!I72,"0.00%")&amp;", CPI"</f>
        <v>2.73%, CPI</v>
      </c>
      <c r="AA61" s="83" t="str">
        <f t="shared" si="34"/>
        <v>0.00%</v>
      </c>
      <c r="AB61" s="2">
        <f t="shared" si="38"/>
        <v>0</v>
      </c>
      <c r="AC61" s="81" t="str">
        <f>TEXT('MYP Assumptions'!J72,"0.00%")&amp;", CPI"</f>
        <v>2.73%, CPI</v>
      </c>
    </row>
    <row r="62" spans="1:29" hidden="1" x14ac:dyDescent="0.25">
      <c r="A62" s="66"/>
      <c r="B62" s="1326" t="s">
        <v>20</v>
      </c>
      <c r="C62" s="1243" t="s">
        <v>19</v>
      </c>
      <c r="D62" s="2">
        <v>0</v>
      </c>
      <c r="E62" s="1249"/>
      <c r="F62" s="2"/>
      <c r="G62" s="1527" t="str">
        <f t="shared" si="27"/>
        <v>0.00%</v>
      </c>
      <c r="H62" s="2">
        <f t="shared" si="28"/>
        <v>0</v>
      </c>
      <c r="I62" s="1240" t="str">
        <f>TEXT('MYP Assumptions'!E72,"0.00%")&amp;", CPI"</f>
        <v>3.11%, CPI</v>
      </c>
      <c r="J62" s="66"/>
      <c r="K62" s="1527" t="str">
        <f t="shared" si="29"/>
        <v>0.00%</v>
      </c>
      <c r="L62" s="2">
        <f t="shared" si="35"/>
        <v>0</v>
      </c>
      <c r="M62" s="1240" t="str">
        <f>TEXT('MYP Assumptions'!F72,"0.00%")&amp;", CPI"</f>
        <v>3.19%, CPI</v>
      </c>
      <c r="O62" s="1527" t="str">
        <f t="shared" si="30"/>
        <v>0.00%</v>
      </c>
      <c r="P62" s="2">
        <f t="shared" si="36"/>
        <v>0</v>
      </c>
      <c r="Q62" s="1240" t="str">
        <f>TEXT('MYP Assumptions'!G72,"0.00%")&amp;", CPI"</f>
        <v>2.86%, CPI</v>
      </c>
      <c r="S62" s="83" t="str">
        <f t="shared" si="31"/>
        <v>0.00%</v>
      </c>
      <c r="T62" s="2">
        <f t="shared" si="32"/>
        <v>0</v>
      </c>
      <c r="U62" s="81" t="str">
        <f>TEXT('MYP Assumptions'!H72,"0.00%")&amp;", CPI"</f>
        <v>2.73%, CPI</v>
      </c>
      <c r="W62" s="83" t="str">
        <f t="shared" si="33"/>
        <v>0.00%</v>
      </c>
      <c r="X62" s="2">
        <f t="shared" si="37"/>
        <v>0</v>
      </c>
      <c r="Y62" s="81" t="str">
        <f>TEXT('MYP Assumptions'!I72,"0.00%")&amp;", CPI"</f>
        <v>2.73%, CPI</v>
      </c>
      <c r="AA62" s="83" t="str">
        <f t="shared" si="34"/>
        <v>0.00%</v>
      </c>
      <c r="AB62" s="2">
        <f t="shared" si="38"/>
        <v>0</v>
      </c>
      <c r="AC62" s="81" t="str">
        <f>TEXT('MYP Assumptions'!J72,"0.00%")&amp;", CPI"</f>
        <v>2.73%, CPI</v>
      </c>
    </row>
    <row r="63" spans="1:29" hidden="1" x14ac:dyDescent="0.25">
      <c r="A63" s="66"/>
      <c r="B63" s="1326" t="s">
        <v>18</v>
      </c>
      <c r="C63" s="1243" t="s">
        <v>17</v>
      </c>
      <c r="D63" s="2">
        <v>0</v>
      </c>
      <c r="E63" s="1249"/>
      <c r="F63" s="2"/>
      <c r="G63" s="1527" t="str">
        <f t="shared" si="27"/>
        <v>0.00%</v>
      </c>
      <c r="H63" s="2">
        <f t="shared" si="28"/>
        <v>0</v>
      </c>
      <c r="I63" s="1240" t="str">
        <f>TEXT('MYP Assumptions'!E72,"0.00%")&amp;", CPI"</f>
        <v>3.11%, CPI</v>
      </c>
      <c r="J63" s="66"/>
      <c r="K63" s="1527" t="str">
        <f t="shared" si="29"/>
        <v>0.00%</v>
      </c>
      <c r="L63" s="2">
        <f t="shared" si="35"/>
        <v>0</v>
      </c>
      <c r="M63" s="1240" t="str">
        <f>TEXT('MYP Assumptions'!F72,"0.00%")&amp;", CPI"</f>
        <v>3.19%, CPI</v>
      </c>
      <c r="O63" s="1527" t="str">
        <f t="shared" si="30"/>
        <v>0.00%</v>
      </c>
      <c r="P63" s="2">
        <f t="shared" si="36"/>
        <v>0</v>
      </c>
      <c r="Q63" s="1240" t="str">
        <f>TEXT('MYP Assumptions'!G72,"0.00%")&amp;", CPI"</f>
        <v>2.86%, CPI</v>
      </c>
      <c r="S63" s="83" t="str">
        <f t="shared" si="31"/>
        <v>0.00%</v>
      </c>
      <c r="T63" s="2">
        <f t="shared" si="32"/>
        <v>0</v>
      </c>
      <c r="U63" s="81" t="str">
        <f>TEXT('MYP Assumptions'!H72,"0.00%")&amp;", CPI"</f>
        <v>2.73%, CPI</v>
      </c>
      <c r="W63" s="83" t="str">
        <f t="shared" si="33"/>
        <v>0.00%</v>
      </c>
      <c r="X63" s="2">
        <f t="shared" si="37"/>
        <v>0</v>
      </c>
      <c r="Y63" s="81" t="str">
        <f>TEXT('MYP Assumptions'!I72,"0.00%")&amp;", CPI"</f>
        <v>2.73%, CPI</v>
      </c>
      <c r="AA63" s="83" t="str">
        <f t="shared" si="34"/>
        <v>0.00%</v>
      </c>
      <c r="AB63" s="2">
        <f t="shared" si="38"/>
        <v>0</v>
      </c>
      <c r="AC63" s="81" t="str">
        <f>TEXT('MYP Assumptions'!J72,"0.00%")&amp;", CPI"</f>
        <v>2.73%, CPI</v>
      </c>
    </row>
    <row r="64" spans="1:29" hidden="1" x14ac:dyDescent="0.25">
      <c r="A64" s="66"/>
      <c r="B64" s="1326">
        <v>4000</v>
      </c>
      <c r="C64" s="1328">
        <v>0</v>
      </c>
      <c r="D64" s="2">
        <v>0</v>
      </c>
      <c r="E64" s="1249"/>
      <c r="F64" s="2"/>
      <c r="G64" s="1527" t="str">
        <f t="shared" si="27"/>
        <v>0.00%</v>
      </c>
      <c r="H64" s="2">
        <f t="shared" si="28"/>
        <v>0</v>
      </c>
      <c r="I64" s="1240" t="str">
        <f>TEXT('MYP Assumptions'!E72,"0.00%")&amp;", CPI"</f>
        <v>3.11%, CPI</v>
      </c>
      <c r="J64" s="66"/>
      <c r="K64" s="1527" t="str">
        <f t="shared" si="29"/>
        <v>0.00%</v>
      </c>
      <c r="L64" s="2">
        <f t="shared" si="35"/>
        <v>0</v>
      </c>
      <c r="M64" s="1240" t="str">
        <f>TEXT('MYP Assumptions'!F72,"0.00%")&amp;", CPI"</f>
        <v>3.19%, CPI</v>
      </c>
      <c r="O64" s="1527" t="str">
        <f t="shared" si="30"/>
        <v>0.00%</v>
      </c>
      <c r="P64" s="2">
        <f t="shared" si="36"/>
        <v>0</v>
      </c>
      <c r="Q64" s="1240" t="str">
        <f>TEXT('MYP Assumptions'!G72,"0.00%")&amp;", CPI"</f>
        <v>2.86%, CPI</v>
      </c>
      <c r="S64" s="83" t="str">
        <f t="shared" si="31"/>
        <v>0.00%</v>
      </c>
      <c r="T64" s="2">
        <f t="shared" si="32"/>
        <v>0</v>
      </c>
      <c r="U64" s="81" t="str">
        <f>TEXT('MYP Assumptions'!H72,"0.00%")&amp;", CPI"</f>
        <v>2.73%, CPI</v>
      </c>
      <c r="W64" s="83" t="str">
        <f t="shared" si="33"/>
        <v>0.00%</v>
      </c>
      <c r="X64" s="2">
        <f t="shared" si="37"/>
        <v>0</v>
      </c>
      <c r="Y64" s="81" t="str">
        <f>TEXT('MYP Assumptions'!I72,"0.00%")&amp;", CPI"</f>
        <v>2.73%, CPI</v>
      </c>
      <c r="AA64" s="83" t="str">
        <f t="shared" si="34"/>
        <v>0.00%</v>
      </c>
      <c r="AB64" s="2">
        <f t="shared" si="38"/>
        <v>0</v>
      </c>
      <c r="AC64" s="81" t="str">
        <f>TEXT('MYP Assumptions'!J72,"0.00%")&amp;", CPI"</f>
        <v>2.73%, CPI</v>
      </c>
    </row>
    <row r="65" spans="1:29" x14ac:dyDescent="0.25">
      <c r="A65" s="29"/>
      <c r="B65" s="1243"/>
      <c r="D65" s="8">
        <f>SUM(D58:D64)</f>
        <v>0</v>
      </c>
      <c r="E65" s="1249"/>
      <c r="F65" s="2"/>
      <c r="G65" s="1527" t="str">
        <f t="shared" si="27"/>
        <v>0.00%</v>
      </c>
      <c r="H65" s="8">
        <f>SUM(H58:H64)</f>
        <v>0</v>
      </c>
      <c r="I65" s="1258"/>
      <c r="J65" s="29"/>
      <c r="K65" s="1527" t="str">
        <f t="shared" si="29"/>
        <v>0.00%</v>
      </c>
      <c r="L65" s="8">
        <f>SUM(L58:L64)</f>
        <v>0</v>
      </c>
      <c r="M65" s="1335"/>
      <c r="O65" s="1527" t="str">
        <f t="shared" si="30"/>
        <v>0.00%</v>
      </c>
      <c r="P65" s="8">
        <f>SUM(P58:P64)</f>
        <v>0</v>
      </c>
      <c r="Q65" s="1335"/>
      <c r="S65" s="83" t="str">
        <f t="shared" si="31"/>
        <v>0.00%</v>
      </c>
      <c r="T65" s="8">
        <f>SUM(T58:T64)</f>
        <v>0</v>
      </c>
      <c r="U65" s="73"/>
      <c r="W65" s="83" t="str">
        <f t="shared" si="33"/>
        <v>0.00%</v>
      </c>
      <c r="X65" s="8">
        <f>SUM(X58:X64)</f>
        <v>0</v>
      </c>
      <c r="Y65" s="73"/>
      <c r="AA65" s="83" t="str">
        <f t="shared" si="34"/>
        <v>0.00%</v>
      </c>
      <c r="AB65" s="8">
        <f>SUM(AB58:AB64)</f>
        <v>0</v>
      </c>
      <c r="AC65" s="73"/>
    </row>
    <row r="66" spans="1:29" x14ac:dyDescent="0.25">
      <c r="A66" s="66"/>
      <c r="E66" s="1249"/>
      <c r="F66" s="2"/>
      <c r="H66" s="2"/>
      <c r="I66" s="1257"/>
      <c r="J66" s="66"/>
      <c r="L66" s="2"/>
      <c r="M66" s="1335"/>
      <c r="Q66" s="1335"/>
      <c r="T66" s="2"/>
      <c r="U66" s="73"/>
      <c r="X66" s="2"/>
      <c r="Y66" s="73"/>
      <c r="AB66" s="2"/>
      <c r="AC66" s="73"/>
    </row>
    <row r="67" spans="1:29" s="4" customFormat="1" x14ac:dyDescent="0.25">
      <c r="A67" s="58"/>
      <c r="B67" s="1323" t="s">
        <v>16</v>
      </c>
      <c r="C67" s="1259"/>
      <c r="D67" s="6"/>
      <c r="E67" s="1250"/>
      <c r="F67" s="6"/>
      <c r="G67" s="1539"/>
      <c r="H67" s="6"/>
      <c r="I67" s="1259"/>
      <c r="J67" s="58"/>
      <c r="K67" s="1571"/>
      <c r="L67" s="6"/>
      <c r="M67" s="1337"/>
      <c r="O67" s="1571"/>
      <c r="P67" s="6"/>
      <c r="Q67" s="1337"/>
      <c r="R67" s="111"/>
      <c r="U67" s="71"/>
      <c r="Y67" s="71"/>
      <c r="AC67" s="71"/>
    </row>
    <row r="68" spans="1:29" x14ac:dyDescent="0.25">
      <c r="A68" s="66"/>
      <c r="B68" s="1326" t="s">
        <v>15</v>
      </c>
      <c r="C68" s="1243" t="s">
        <v>14</v>
      </c>
      <c r="D68" s="2">
        <v>15642</v>
      </c>
      <c r="E68" s="1249" t="s">
        <v>215</v>
      </c>
      <c r="F68" s="2"/>
      <c r="G68" s="1527">
        <f t="shared" ref="G68:G73" si="39">IF(D68=0,"0.00%",(H68-D68)/D68)</f>
        <v>-4.1043344840813192E-2</v>
      </c>
      <c r="H68" s="2">
        <v>15000</v>
      </c>
      <c r="I68" s="1240" t="s">
        <v>174</v>
      </c>
      <c r="J68" s="66"/>
      <c r="K68" s="1527">
        <f t="shared" ref="K68:K81" si="40">IF(H68=0,"0.00%",(L68-H68)/H68)</f>
        <v>0</v>
      </c>
      <c r="L68" s="2">
        <f>+H68</f>
        <v>15000</v>
      </c>
      <c r="M68" s="1240" t="s">
        <v>174</v>
      </c>
      <c r="O68" s="1527">
        <f t="shared" ref="O68:O81" si="41">IF(L68=0,"0.00%",(P68-L68)/L68)</f>
        <v>0</v>
      </c>
      <c r="P68" s="2">
        <f>+L68</f>
        <v>15000</v>
      </c>
      <c r="Q68" s="1240" t="s">
        <v>174</v>
      </c>
      <c r="S68" s="83">
        <f t="shared" ref="S68:S81" si="42">IF(P68=0,"0.00%",(T68-P68)/P68)</f>
        <v>0</v>
      </c>
      <c r="T68" s="2">
        <f>P68</f>
        <v>15000</v>
      </c>
      <c r="U68" s="81" t="s">
        <v>174</v>
      </c>
      <c r="W68" s="83">
        <f t="shared" ref="W68:W81" si="43">IF(T68=0,"0.00%",(X68-T68)/T68)</f>
        <v>0</v>
      </c>
      <c r="X68" s="2">
        <f>T68</f>
        <v>15000</v>
      </c>
      <c r="Y68" s="81" t="s">
        <v>174</v>
      </c>
      <c r="AA68" s="83">
        <f t="shared" ref="AA68:AA81" si="44">IF(X68=0,"0.00%",(AB68-X68)/X68)</f>
        <v>2.7333333333333334E-2</v>
      </c>
      <c r="AB68" s="2">
        <f>ROUND(X68*(LEFT(AC68,5)+1),0)</f>
        <v>15410</v>
      </c>
      <c r="AC68" s="81" t="str">
        <f>TEXT('MYP Assumptions'!J72,"0.00%")&amp;", CPI"</f>
        <v>2.73%, CPI</v>
      </c>
    </row>
    <row r="69" spans="1:29" hidden="1" x14ac:dyDescent="0.25">
      <c r="A69" s="66"/>
      <c r="B69" s="1326" t="s">
        <v>13</v>
      </c>
      <c r="C69" s="1243" t="s">
        <v>12</v>
      </c>
      <c r="D69" s="2">
        <v>0</v>
      </c>
      <c r="E69" s="1249"/>
      <c r="F69" s="2"/>
      <c r="G69" s="1527" t="str">
        <f t="shared" si="39"/>
        <v>0.00%</v>
      </c>
      <c r="H69" s="2">
        <f>ROUND(D69*(LEFT(I69,5)+1),0)</f>
        <v>0</v>
      </c>
      <c r="I69" s="1240" t="str">
        <f>TEXT('MYP Assumptions'!E72,"0.00%")&amp;", CPI"</f>
        <v>3.11%, CPI</v>
      </c>
      <c r="J69" s="66"/>
      <c r="K69" s="1527" t="str">
        <f t="shared" si="40"/>
        <v>0.00%</v>
      </c>
      <c r="L69" s="2">
        <f t="shared" ref="L69:L80" si="45">ROUND(H69*(LEFT(M69,5)+1),0)</f>
        <v>0</v>
      </c>
      <c r="M69" s="1240" t="str">
        <f>TEXT('MYP Assumptions'!F72,"0.00%")&amp;", CPI"</f>
        <v>3.19%, CPI</v>
      </c>
      <c r="O69" s="1527" t="str">
        <f t="shared" si="41"/>
        <v>0.00%</v>
      </c>
      <c r="P69" s="2">
        <f t="shared" ref="P69:P80" si="46">ROUND(L69*(LEFT(Q69,5)+1),0)</f>
        <v>0</v>
      </c>
      <c r="Q69" s="1240" t="str">
        <f>TEXT('MYP Assumptions'!G72,"0.00%")&amp;", CPI"</f>
        <v>2.86%, CPI</v>
      </c>
      <c r="S69" s="83" t="str">
        <f t="shared" si="42"/>
        <v>0.00%</v>
      </c>
      <c r="T69" s="2">
        <f t="shared" ref="T69:T80" si="47">ROUND(P69*(LEFT(U69,5)+1),0)</f>
        <v>0</v>
      </c>
      <c r="U69" s="81" t="str">
        <f>TEXT('MYP Assumptions'!H72,"0.00%")&amp;", CPI"</f>
        <v>2.73%, CPI</v>
      </c>
      <c r="W69" s="83" t="str">
        <f t="shared" si="43"/>
        <v>0.00%</v>
      </c>
      <c r="X69" s="2">
        <f t="shared" ref="X69:X80" si="48">ROUND(T69*(LEFT(Y69,5)+1),0)</f>
        <v>0</v>
      </c>
      <c r="Y69" s="81" t="str">
        <f>TEXT('MYP Assumptions'!I72,"0.00%")&amp;", CPI"</f>
        <v>2.73%, CPI</v>
      </c>
      <c r="AA69" s="83" t="str">
        <f t="shared" si="44"/>
        <v>0.00%</v>
      </c>
      <c r="AB69" s="2">
        <f t="shared" ref="AB69:AB80" si="49">ROUND(X69*(LEFT(AC69,5)+1),0)</f>
        <v>0</v>
      </c>
      <c r="AC69" s="81" t="str">
        <f>TEXT('MYP Assumptions'!J72,"0.00%")&amp;", CPI"</f>
        <v>2.73%, CPI</v>
      </c>
    </row>
    <row r="70" spans="1:29" hidden="1" x14ac:dyDescent="0.25">
      <c r="A70" s="66"/>
      <c r="B70" s="1326" t="s">
        <v>128</v>
      </c>
      <c r="C70" s="1243" t="s">
        <v>129</v>
      </c>
      <c r="D70" s="2">
        <v>0</v>
      </c>
      <c r="E70" s="1249"/>
      <c r="F70" s="2"/>
      <c r="G70" s="1527" t="str">
        <f t="shared" si="39"/>
        <v>0.00%</v>
      </c>
      <c r="H70" s="2">
        <f t="shared" ref="H70:H75" si="50">ROUND(D70*(LEFT(I70,5)+1),0)</f>
        <v>0</v>
      </c>
      <c r="I70" s="1240" t="str">
        <f>TEXT('MYP Assumptions'!E72,"0.00%")&amp;", CPI"</f>
        <v>3.11%, CPI</v>
      </c>
      <c r="J70" s="66"/>
      <c r="K70" s="1527" t="str">
        <f t="shared" si="40"/>
        <v>0.00%</v>
      </c>
      <c r="L70" s="2">
        <f t="shared" si="45"/>
        <v>0</v>
      </c>
      <c r="M70" s="1240" t="str">
        <f>TEXT('MYP Assumptions'!F72,"0.00%")&amp;", CPI"</f>
        <v>3.19%, CPI</v>
      </c>
      <c r="O70" s="1527" t="str">
        <f t="shared" si="41"/>
        <v>0.00%</v>
      </c>
      <c r="P70" s="2">
        <f t="shared" si="46"/>
        <v>0</v>
      </c>
      <c r="Q70" s="1240" t="str">
        <f>TEXT('MYP Assumptions'!G72,"0.00%")&amp;", CPI"</f>
        <v>2.86%, CPI</v>
      </c>
      <c r="S70" s="83" t="str">
        <f t="shared" si="42"/>
        <v>0.00%</v>
      </c>
      <c r="T70" s="2">
        <f t="shared" si="47"/>
        <v>0</v>
      </c>
      <c r="U70" s="81" t="str">
        <f>TEXT('MYP Assumptions'!H72,"0.00%")&amp;", CPI"</f>
        <v>2.73%, CPI</v>
      </c>
      <c r="W70" s="83" t="str">
        <f t="shared" si="43"/>
        <v>0.00%</v>
      </c>
      <c r="X70" s="2">
        <f t="shared" si="48"/>
        <v>0</v>
      </c>
      <c r="Y70" s="81" t="str">
        <f>TEXT('MYP Assumptions'!I72,"0.00%")&amp;", CPI"</f>
        <v>2.73%, CPI</v>
      </c>
      <c r="AA70" s="83" t="str">
        <f t="shared" si="44"/>
        <v>0.00%</v>
      </c>
      <c r="AB70" s="2">
        <f t="shared" si="49"/>
        <v>0</v>
      </c>
      <c r="AC70" s="81" t="str">
        <f>TEXT('MYP Assumptions'!J72,"0.00%")&amp;", CPI"</f>
        <v>2.73%, CPI</v>
      </c>
    </row>
    <row r="71" spans="1:29" hidden="1" x14ac:dyDescent="0.25">
      <c r="A71" s="66"/>
      <c r="B71" s="1326" t="s">
        <v>11</v>
      </c>
      <c r="C71" s="1243" t="s">
        <v>10</v>
      </c>
      <c r="D71" s="2">
        <v>0</v>
      </c>
      <c r="E71" s="1249"/>
      <c r="F71" s="2"/>
      <c r="G71" s="1527" t="str">
        <f t="shared" si="39"/>
        <v>0.00%</v>
      </c>
      <c r="H71" s="2">
        <f t="shared" si="50"/>
        <v>0</v>
      </c>
      <c r="I71" s="1240" t="str">
        <f>TEXT('MYP Assumptions'!E72,"0.00%")&amp;", CPI"</f>
        <v>3.11%, CPI</v>
      </c>
      <c r="J71" s="66"/>
      <c r="K71" s="1527" t="str">
        <f t="shared" si="40"/>
        <v>0.00%</v>
      </c>
      <c r="L71" s="2">
        <f t="shared" si="45"/>
        <v>0</v>
      </c>
      <c r="M71" s="1240" t="str">
        <f>TEXT('MYP Assumptions'!F72,"0.00%")&amp;", CPI"</f>
        <v>3.19%, CPI</v>
      </c>
      <c r="O71" s="1527" t="str">
        <f t="shared" si="41"/>
        <v>0.00%</v>
      </c>
      <c r="P71" s="2">
        <f t="shared" si="46"/>
        <v>0</v>
      </c>
      <c r="Q71" s="1240" t="str">
        <f>TEXT('MYP Assumptions'!G72,"0.00%")&amp;", CPI"</f>
        <v>2.86%, CPI</v>
      </c>
      <c r="S71" s="83" t="str">
        <f t="shared" si="42"/>
        <v>0.00%</v>
      </c>
      <c r="T71" s="2">
        <f t="shared" si="47"/>
        <v>0</v>
      </c>
      <c r="U71" s="81" t="str">
        <f>TEXT('MYP Assumptions'!H72,"0.00%")&amp;", CPI"</f>
        <v>2.73%, CPI</v>
      </c>
      <c r="W71" s="83" t="str">
        <f t="shared" si="43"/>
        <v>0.00%</v>
      </c>
      <c r="X71" s="2">
        <f t="shared" si="48"/>
        <v>0</v>
      </c>
      <c r="Y71" s="81" t="str">
        <f>TEXT('MYP Assumptions'!I72,"0.00%")&amp;", CPI"</f>
        <v>2.73%, CPI</v>
      </c>
      <c r="AA71" s="83" t="str">
        <f t="shared" si="44"/>
        <v>0.00%</v>
      </c>
      <c r="AB71" s="2">
        <f t="shared" si="49"/>
        <v>0</v>
      </c>
      <c r="AC71" s="81" t="str">
        <f>TEXT('MYP Assumptions'!J72,"0.00%")&amp;", CPI"</f>
        <v>2.73%, CPI</v>
      </c>
    </row>
    <row r="72" spans="1:29" hidden="1" x14ac:dyDescent="0.25">
      <c r="A72" s="66"/>
      <c r="B72" s="1326" t="s">
        <v>120</v>
      </c>
      <c r="C72" s="1243" t="s">
        <v>121</v>
      </c>
      <c r="D72" s="2">
        <v>0</v>
      </c>
      <c r="E72" s="1249"/>
      <c r="F72" s="2"/>
      <c r="G72" s="1527" t="str">
        <f t="shared" si="39"/>
        <v>0.00%</v>
      </c>
      <c r="H72" s="2">
        <f t="shared" si="50"/>
        <v>0</v>
      </c>
      <c r="I72" s="1240" t="str">
        <f>TEXT('MYP Assumptions'!E72,"0.00%")&amp;", CPI"</f>
        <v>3.11%, CPI</v>
      </c>
      <c r="J72" s="66"/>
      <c r="K72" s="1527" t="str">
        <f t="shared" si="40"/>
        <v>0.00%</v>
      </c>
      <c r="L72" s="2">
        <f t="shared" si="45"/>
        <v>0</v>
      </c>
      <c r="M72" s="1240" t="str">
        <f>TEXT('MYP Assumptions'!F72,"0.00%")&amp;", CPI"</f>
        <v>3.19%, CPI</v>
      </c>
      <c r="O72" s="1527" t="str">
        <f t="shared" si="41"/>
        <v>0.00%</v>
      </c>
      <c r="P72" s="2">
        <f t="shared" si="46"/>
        <v>0</v>
      </c>
      <c r="Q72" s="1240" t="str">
        <f>TEXT('MYP Assumptions'!G72,"0.00%")&amp;", CPI"</f>
        <v>2.86%, CPI</v>
      </c>
      <c r="S72" s="83" t="str">
        <f t="shared" si="42"/>
        <v>0.00%</v>
      </c>
      <c r="T72" s="2">
        <f t="shared" si="47"/>
        <v>0</v>
      </c>
      <c r="U72" s="81" t="str">
        <f>TEXT('MYP Assumptions'!H72,"0.00%")&amp;", CPI"</f>
        <v>2.73%, CPI</v>
      </c>
      <c r="W72" s="83" t="str">
        <f t="shared" si="43"/>
        <v>0.00%</v>
      </c>
      <c r="X72" s="2">
        <f t="shared" si="48"/>
        <v>0</v>
      </c>
      <c r="Y72" s="81" t="str">
        <f>TEXT('MYP Assumptions'!I72,"0.00%")&amp;", CPI"</f>
        <v>2.73%, CPI</v>
      </c>
      <c r="AA72" s="83" t="str">
        <f t="shared" si="44"/>
        <v>0.00%</v>
      </c>
      <c r="AB72" s="2">
        <f t="shared" si="49"/>
        <v>0</v>
      </c>
      <c r="AC72" s="81" t="str">
        <f>TEXT('MYP Assumptions'!J72,"0.00%")&amp;", CPI"</f>
        <v>2.73%, CPI</v>
      </c>
    </row>
    <row r="73" spans="1:29" hidden="1" x14ac:dyDescent="0.25">
      <c r="A73" s="66"/>
      <c r="B73" s="1326" t="s">
        <v>126</v>
      </c>
      <c r="C73" s="1243" t="s">
        <v>127</v>
      </c>
      <c r="D73" s="2">
        <v>0</v>
      </c>
      <c r="E73" s="1249"/>
      <c r="F73" s="2"/>
      <c r="G73" s="1527" t="str">
        <f t="shared" si="39"/>
        <v>0.00%</v>
      </c>
      <c r="H73" s="2">
        <f t="shared" si="50"/>
        <v>0</v>
      </c>
      <c r="I73" s="1240" t="str">
        <f>TEXT('MYP Assumptions'!E72,"0.00%")&amp;", CPI"</f>
        <v>3.11%, CPI</v>
      </c>
      <c r="J73" s="66"/>
      <c r="K73" s="1527" t="str">
        <f t="shared" si="40"/>
        <v>0.00%</v>
      </c>
      <c r="L73" s="2">
        <f t="shared" si="45"/>
        <v>0</v>
      </c>
      <c r="M73" s="1240" t="str">
        <f>TEXT('MYP Assumptions'!F72,"0.00%")&amp;", CPI"</f>
        <v>3.19%, CPI</v>
      </c>
      <c r="O73" s="1527" t="str">
        <f t="shared" si="41"/>
        <v>0.00%</v>
      </c>
      <c r="P73" s="2">
        <f t="shared" si="46"/>
        <v>0</v>
      </c>
      <c r="Q73" s="1240" t="str">
        <f>TEXT('MYP Assumptions'!G72,"0.00%")&amp;", CPI"</f>
        <v>2.86%, CPI</v>
      </c>
      <c r="S73" s="83" t="str">
        <f t="shared" si="42"/>
        <v>0.00%</v>
      </c>
      <c r="T73" s="2">
        <f t="shared" si="47"/>
        <v>0</v>
      </c>
      <c r="U73" s="81" t="str">
        <f>TEXT('MYP Assumptions'!H72,"0.00%")&amp;", CPI"</f>
        <v>2.73%, CPI</v>
      </c>
      <c r="W73" s="83" t="str">
        <f t="shared" si="43"/>
        <v>0.00%</v>
      </c>
      <c r="X73" s="2">
        <f t="shared" si="48"/>
        <v>0</v>
      </c>
      <c r="Y73" s="81" t="str">
        <f>TEXT('MYP Assumptions'!I72,"0.00%")&amp;", CPI"</f>
        <v>2.73%, CPI</v>
      </c>
      <c r="AA73" s="83" t="str">
        <f t="shared" si="44"/>
        <v>0.00%</v>
      </c>
      <c r="AB73" s="2">
        <f t="shared" si="49"/>
        <v>0</v>
      </c>
      <c r="AC73" s="81" t="str">
        <f>TEXT('MYP Assumptions'!J72,"0.00%")&amp;", CPI"</f>
        <v>2.73%, CPI</v>
      </c>
    </row>
    <row r="74" spans="1:29" hidden="1" x14ac:dyDescent="0.25">
      <c r="A74" s="66"/>
      <c r="B74" s="1326" t="s">
        <v>9</v>
      </c>
      <c r="C74" s="1243" t="s">
        <v>8</v>
      </c>
      <c r="D74" s="2">
        <v>0</v>
      </c>
      <c r="E74" s="1249"/>
      <c r="F74" s="2"/>
      <c r="G74" s="1527" t="str">
        <f>IF(D74=0,"0.00%",(H74-D74)/D74)</f>
        <v>0.00%</v>
      </c>
      <c r="H74" s="2">
        <f t="shared" si="50"/>
        <v>0</v>
      </c>
      <c r="I74" s="1240" t="str">
        <f>TEXT('MYP Assumptions'!E72,"0.00%")&amp;", CPI"</f>
        <v>3.11%, CPI</v>
      </c>
      <c r="J74" s="66"/>
      <c r="K74" s="1527" t="str">
        <f t="shared" si="40"/>
        <v>0.00%</v>
      </c>
      <c r="L74" s="2">
        <f t="shared" si="45"/>
        <v>0</v>
      </c>
      <c r="M74" s="1240" t="str">
        <f>TEXT('MYP Assumptions'!F72,"0.00%")&amp;", CPI"</f>
        <v>3.19%, CPI</v>
      </c>
      <c r="O74" s="1527" t="str">
        <f t="shared" si="41"/>
        <v>0.00%</v>
      </c>
      <c r="P74" s="2">
        <f t="shared" si="46"/>
        <v>0</v>
      </c>
      <c r="Q74" s="1240" t="str">
        <f>TEXT('MYP Assumptions'!G72,"0.00%")&amp;", CPI"</f>
        <v>2.86%, CPI</v>
      </c>
      <c r="S74" s="83" t="str">
        <f t="shared" si="42"/>
        <v>0.00%</v>
      </c>
      <c r="T74" s="2">
        <f t="shared" si="47"/>
        <v>0</v>
      </c>
      <c r="U74" s="81" t="str">
        <f>TEXT('MYP Assumptions'!H72,"0.00%")&amp;", CPI"</f>
        <v>2.73%, CPI</v>
      </c>
      <c r="W74" s="83" t="str">
        <f t="shared" si="43"/>
        <v>0.00%</v>
      </c>
      <c r="X74" s="2">
        <f t="shared" si="48"/>
        <v>0</v>
      </c>
      <c r="Y74" s="81" t="str">
        <f>TEXT('MYP Assumptions'!I72,"0.00%")&amp;", CPI"</f>
        <v>2.73%, CPI</v>
      </c>
      <c r="AA74" s="83" t="str">
        <f t="shared" si="44"/>
        <v>0.00%</v>
      </c>
      <c r="AB74" s="2">
        <f t="shared" si="49"/>
        <v>0</v>
      </c>
      <c r="AC74" s="81" t="str">
        <f>TEXT('MYP Assumptions'!J72,"0.00%")&amp;", CPI"</f>
        <v>2.73%, CPI</v>
      </c>
    </row>
    <row r="75" spans="1:29" hidden="1" x14ac:dyDescent="0.25">
      <c r="A75" s="66"/>
      <c r="B75" s="1326" t="s">
        <v>122</v>
      </c>
      <c r="C75" s="1243" t="s">
        <v>123</v>
      </c>
      <c r="D75" s="2">
        <v>0</v>
      </c>
      <c r="E75" s="1249"/>
      <c r="F75" s="2"/>
      <c r="G75" s="1527" t="str">
        <f t="shared" ref="G75:G81" si="51">IF(D75=0,"0.00%",(H75-D75)/D75)</f>
        <v>0.00%</v>
      </c>
      <c r="H75" s="2">
        <f t="shared" si="50"/>
        <v>0</v>
      </c>
      <c r="I75" s="1240" t="str">
        <f>TEXT('MYP Assumptions'!E72,"0.00%")&amp;", CPI"</f>
        <v>3.11%, CPI</v>
      </c>
      <c r="J75" s="66"/>
      <c r="K75" s="1527" t="str">
        <f t="shared" si="40"/>
        <v>0.00%</v>
      </c>
      <c r="L75" s="2">
        <f t="shared" si="45"/>
        <v>0</v>
      </c>
      <c r="M75" s="1240" t="str">
        <f>TEXT('MYP Assumptions'!F72,"0.00%")&amp;", CPI"</f>
        <v>3.19%, CPI</v>
      </c>
      <c r="O75" s="1527" t="str">
        <f t="shared" si="41"/>
        <v>0.00%</v>
      </c>
      <c r="P75" s="2">
        <f t="shared" si="46"/>
        <v>0</v>
      </c>
      <c r="Q75" s="1240" t="str">
        <f>TEXT('MYP Assumptions'!G72,"0.00%")&amp;", CPI"</f>
        <v>2.86%, CPI</v>
      </c>
      <c r="S75" s="83" t="str">
        <f t="shared" si="42"/>
        <v>0.00%</v>
      </c>
      <c r="T75" s="2">
        <f t="shared" si="47"/>
        <v>0</v>
      </c>
      <c r="U75" s="81" t="str">
        <f>TEXT('MYP Assumptions'!H72,"0.00%")&amp;", CPI"</f>
        <v>2.73%, CPI</v>
      </c>
      <c r="W75" s="83" t="str">
        <f t="shared" si="43"/>
        <v>0.00%</v>
      </c>
      <c r="X75" s="2">
        <f t="shared" si="48"/>
        <v>0</v>
      </c>
      <c r="Y75" s="81" t="str">
        <f>TEXT('MYP Assumptions'!I72,"0.00%")&amp;", CPI"</f>
        <v>2.73%, CPI</v>
      </c>
      <c r="AA75" s="83" t="str">
        <f t="shared" si="44"/>
        <v>0.00%</v>
      </c>
      <c r="AB75" s="2">
        <f t="shared" si="49"/>
        <v>0</v>
      </c>
      <c r="AC75" s="81" t="str">
        <f>TEXT('MYP Assumptions'!J72,"0.00%")&amp;", CPI"</f>
        <v>2.73%, CPI</v>
      </c>
    </row>
    <row r="76" spans="1:29" hidden="1" x14ac:dyDescent="0.25">
      <c r="A76" s="66"/>
      <c r="B76" s="1326" t="s">
        <v>7</v>
      </c>
      <c r="C76" s="1243" t="s">
        <v>6</v>
      </c>
      <c r="D76" s="2">
        <v>0</v>
      </c>
      <c r="E76" s="1249"/>
      <c r="F76" s="2"/>
      <c r="G76" s="1527" t="str">
        <f t="shared" si="51"/>
        <v>0.00%</v>
      </c>
      <c r="H76" s="2">
        <f>ROUND(D76*(LEFT(I76,5)+1),0)</f>
        <v>0</v>
      </c>
      <c r="I76" s="1240" t="str">
        <f>TEXT('MYP Assumptions'!E72,"0.00%")&amp;", CPI"</f>
        <v>3.11%, CPI</v>
      </c>
      <c r="J76" s="66"/>
      <c r="K76" s="1527" t="str">
        <f t="shared" si="40"/>
        <v>0.00%</v>
      </c>
      <c r="L76" s="2">
        <f t="shared" si="45"/>
        <v>0</v>
      </c>
      <c r="M76" s="1240" t="str">
        <f>TEXT('MYP Assumptions'!F72,"0.00%")&amp;", CPI"</f>
        <v>3.19%, CPI</v>
      </c>
      <c r="O76" s="1527" t="str">
        <f t="shared" si="41"/>
        <v>0.00%</v>
      </c>
      <c r="P76" s="2">
        <f t="shared" si="46"/>
        <v>0</v>
      </c>
      <c r="Q76" s="1240" t="str">
        <f>TEXT('MYP Assumptions'!G72,"0.00%")&amp;", CPI"</f>
        <v>2.86%, CPI</v>
      </c>
      <c r="S76" s="83" t="str">
        <f t="shared" si="42"/>
        <v>0.00%</v>
      </c>
      <c r="T76" s="2">
        <f t="shared" si="47"/>
        <v>0</v>
      </c>
      <c r="U76" s="81" t="str">
        <f>TEXT('MYP Assumptions'!H72,"0.00%")&amp;", CPI"</f>
        <v>2.73%, CPI</v>
      </c>
      <c r="W76" s="83" t="str">
        <f t="shared" si="43"/>
        <v>0.00%</v>
      </c>
      <c r="X76" s="2">
        <f t="shared" si="48"/>
        <v>0</v>
      </c>
      <c r="Y76" s="81" t="str">
        <f>TEXT('MYP Assumptions'!I72,"0.00%")&amp;", CPI"</f>
        <v>2.73%, CPI</v>
      </c>
      <c r="AA76" s="83" t="str">
        <f t="shared" si="44"/>
        <v>0.00%</v>
      </c>
      <c r="AB76" s="2">
        <f t="shared" si="49"/>
        <v>0</v>
      </c>
      <c r="AC76" s="81" t="str">
        <f>TEXT('MYP Assumptions'!J72,"0.00%")&amp;", CPI"</f>
        <v>2.73%, CPI</v>
      </c>
    </row>
    <row r="77" spans="1:29" hidden="1" x14ac:dyDescent="0.25">
      <c r="A77" s="66"/>
      <c r="B77" s="1326" t="s">
        <v>5</v>
      </c>
      <c r="C77" s="1243" t="s">
        <v>4</v>
      </c>
      <c r="D77" s="2">
        <v>0</v>
      </c>
      <c r="E77" s="1249"/>
      <c r="F77" s="2"/>
      <c r="G77" s="1527" t="str">
        <f t="shared" si="51"/>
        <v>0.00%</v>
      </c>
      <c r="H77" s="2">
        <f>ROUND(D77*(LEFT(I77,5)+1),0)</f>
        <v>0</v>
      </c>
      <c r="I77" s="1240" t="str">
        <f>TEXT('MYP Assumptions'!E72,"0.00%")&amp;", CPI"</f>
        <v>3.11%, CPI</v>
      </c>
      <c r="J77" s="66"/>
      <c r="K77" s="1527" t="str">
        <f t="shared" si="40"/>
        <v>0.00%</v>
      </c>
      <c r="L77" s="2">
        <f t="shared" si="45"/>
        <v>0</v>
      </c>
      <c r="M77" s="1240" t="str">
        <f>TEXT('MYP Assumptions'!F72,"0.00%")&amp;", CPI"</f>
        <v>3.19%, CPI</v>
      </c>
      <c r="O77" s="1527" t="str">
        <f t="shared" si="41"/>
        <v>0.00%</v>
      </c>
      <c r="P77" s="2">
        <f t="shared" si="46"/>
        <v>0</v>
      </c>
      <c r="Q77" s="1240" t="str">
        <f>TEXT('MYP Assumptions'!G72,"0.00%")&amp;", CPI"</f>
        <v>2.86%, CPI</v>
      </c>
      <c r="S77" s="83" t="str">
        <f t="shared" si="42"/>
        <v>0.00%</v>
      </c>
      <c r="T77" s="2">
        <f t="shared" si="47"/>
        <v>0</v>
      </c>
      <c r="U77" s="81" t="str">
        <f>TEXT('MYP Assumptions'!H72,"0.00%")&amp;", CPI"</f>
        <v>2.73%, CPI</v>
      </c>
      <c r="W77" s="83" t="str">
        <f t="shared" si="43"/>
        <v>0.00%</v>
      </c>
      <c r="X77" s="2">
        <f t="shared" si="48"/>
        <v>0</v>
      </c>
      <c r="Y77" s="81" t="str">
        <f>TEXT('MYP Assumptions'!I72,"0.00%")&amp;", CPI"</f>
        <v>2.73%, CPI</v>
      </c>
      <c r="AA77" s="83" t="str">
        <f t="shared" si="44"/>
        <v>0.00%</v>
      </c>
      <c r="AB77" s="2">
        <f t="shared" si="49"/>
        <v>0</v>
      </c>
      <c r="AC77" s="81" t="str">
        <f>TEXT('MYP Assumptions'!J72,"0.00%")&amp;", CPI"</f>
        <v>2.73%, CPI</v>
      </c>
    </row>
    <row r="78" spans="1:29" hidden="1" x14ac:dyDescent="0.25">
      <c r="A78" s="66"/>
      <c r="B78" s="1326" t="s">
        <v>3</v>
      </c>
      <c r="C78" s="1243" t="s">
        <v>2</v>
      </c>
      <c r="D78" s="2">
        <v>0</v>
      </c>
      <c r="E78" s="1249"/>
      <c r="F78" s="2"/>
      <c r="G78" s="1527" t="str">
        <f t="shared" si="51"/>
        <v>0.00%</v>
      </c>
      <c r="H78" s="2">
        <f>ROUND(D78*(LEFT(I78,5)+1),0)</f>
        <v>0</v>
      </c>
      <c r="I78" s="1240" t="str">
        <f>TEXT('MYP Assumptions'!E72,"0.00%")&amp;", CPI"</f>
        <v>3.11%, CPI</v>
      </c>
      <c r="J78" s="66"/>
      <c r="K78" s="1527" t="str">
        <f t="shared" si="40"/>
        <v>0.00%</v>
      </c>
      <c r="L78" s="2">
        <f t="shared" si="45"/>
        <v>0</v>
      </c>
      <c r="M78" s="1240" t="str">
        <f>TEXT('MYP Assumptions'!F72,"0.00%")&amp;", CPI"</f>
        <v>3.19%, CPI</v>
      </c>
      <c r="O78" s="1527" t="str">
        <f t="shared" si="41"/>
        <v>0.00%</v>
      </c>
      <c r="P78" s="2">
        <f t="shared" si="46"/>
        <v>0</v>
      </c>
      <c r="Q78" s="1240" t="str">
        <f>TEXT('MYP Assumptions'!G72,"0.00%")&amp;", CPI"</f>
        <v>2.86%, CPI</v>
      </c>
      <c r="S78" s="83" t="str">
        <f t="shared" si="42"/>
        <v>0.00%</v>
      </c>
      <c r="T78" s="2">
        <f t="shared" si="47"/>
        <v>0</v>
      </c>
      <c r="U78" s="81" t="str">
        <f>TEXT('MYP Assumptions'!H72,"0.00%")&amp;", CPI"</f>
        <v>2.73%, CPI</v>
      </c>
      <c r="W78" s="83" t="str">
        <f t="shared" si="43"/>
        <v>0.00%</v>
      </c>
      <c r="X78" s="2">
        <f t="shared" si="48"/>
        <v>0</v>
      </c>
      <c r="Y78" s="81" t="str">
        <f>TEXT('MYP Assumptions'!I72,"0.00%")&amp;", CPI"</f>
        <v>2.73%, CPI</v>
      </c>
      <c r="AA78" s="83" t="str">
        <f t="shared" si="44"/>
        <v>0.00%</v>
      </c>
      <c r="AB78" s="2">
        <f t="shared" si="49"/>
        <v>0</v>
      </c>
      <c r="AC78" s="81" t="str">
        <f>TEXT('MYP Assumptions'!J72,"0.00%")&amp;", CPI"</f>
        <v>2.73%, CPI</v>
      </c>
    </row>
    <row r="79" spans="1:29" hidden="1" x14ac:dyDescent="0.25">
      <c r="A79" s="66"/>
      <c r="B79" s="1326" t="s">
        <v>124</v>
      </c>
      <c r="C79" s="1243" t="s">
        <v>125</v>
      </c>
      <c r="D79" s="2">
        <v>0</v>
      </c>
      <c r="E79" s="1249"/>
      <c r="F79" s="2"/>
      <c r="G79" s="1527" t="str">
        <f t="shared" si="51"/>
        <v>0.00%</v>
      </c>
      <c r="H79" s="2">
        <f>ROUND(D79*(LEFT(I79,5)+1),0)</f>
        <v>0</v>
      </c>
      <c r="I79" s="1240" t="str">
        <f>TEXT('MYP Assumptions'!E72,"0.00%")&amp;", CPI"</f>
        <v>3.11%, CPI</v>
      </c>
      <c r="J79" s="66"/>
      <c r="K79" s="1527" t="str">
        <f t="shared" si="40"/>
        <v>0.00%</v>
      </c>
      <c r="L79" s="2">
        <f t="shared" si="45"/>
        <v>0</v>
      </c>
      <c r="M79" s="1240" t="str">
        <f>TEXT('MYP Assumptions'!F72,"0.00%")&amp;", CPI"</f>
        <v>3.19%, CPI</v>
      </c>
      <c r="O79" s="1527" t="str">
        <f t="shared" si="41"/>
        <v>0.00%</v>
      </c>
      <c r="P79" s="2">
        <f t="shared" si="46"/>
        <v>0</v>
      </c>
      <c r="Q79" s="1240" t="str">
        <f>TEXT('MYP Assumptions'!G72,"0.00%")&amp;", CPI"</f>
        <v>2.86%, CPI</v>
      </c>
      <c r="S79" s="83" t="str">
        <f t="shared" si="42"/>
        <v>0.00%</v>
      </c>
      <c r="T79" s="2">
        <f t="shared" si="47"/>
        <v>0</v>
      </c>
      <c r="U79" s="81" t="str">
        <f>TEXT('MYP Assumptions'!H72,"0.00%")&amp;", CPI"</f>
        <v>2.73%, CPI</v>
      </c>
      <c r="W79" s="83" t="str">
        <f t="shared" si="43"/>
        <v>0.00%</v>
      </c>
      <c r="X79" s="2">
        <f t="shared" si="48"/>
        <v>0</v>
      </c>
      <c r="Y79" s="81" t="str">
        <f>TEXT('MYP Assumptions'!I72,"0.00%")&amp;", CPI"</f>
        <v>2.73%, CPI</v>
      </c>
      <c r="AA79" s="83" t="str">
        <f t="shared" si="44"/>
        <v>0.00%</v>
      </c>
      <c r="AB79" s="2">
        <f t="shared" si="49"/>
        <v>0</v>
      </c>
      <c r="AC79" s="81" t="str">
        <f>TEXT('MYP Assumptions'!J72,"0.00%")&amp;", CPI"</f>
        <v>2.73%, CPI</v>
      </c>
    </row>
    <row r="80" spans="1:29" hidden="1" x14ac:dyDescent="0.25">
      <c r="A80" s="66"/>
      <c r="B80" s="1326" t="s">
        <v>1</v>
      </c>
      <c r="D80" s="2">
        <f>'RS 3010-ALL'!AF80</f>
        <v>0</v>
      </c>
      <c r="E80" s="1249"/>
      <c r="F80" s="2"/>
      <c r="G80" s="1527" t="str">
        <f t="shared" si="51"/>
        <v>0.00%</v>
      </c>
      <c r="H80" s="2">
        <f>ROUND(D80*(LEFT(I80,5)+1),0)</f>
        <v>0</v>
      </c>
      <c r="I80" s="1240" t="str">
        <f>TEXT('MYP Assumptions'!E72,"0.00%")&amp;", CPI"</f>
        <v>3.11%, CPI</v>
      </c>
      <c r="J80" s="66"/>
      <c r="K80" s="1527" t="str">
        <f t="shared" si="40"/>
        <v>0.00%</v>
      </c>
      <c r="L80" s="2">
        <f t="shared" si="45"/>
        <v>0</v>
      </c>
      <c r="M80" s="1240" t="str">
        <f>TEXT('MYP Assumptions'!F72,"0.00%")&amp;", CPI"</f>
        <v>3.19%, CPI</v>
      </c>
      <c r="O80" s="1527" t="str">
        <f t="shared" si="41"/>
        <v>0.00%</v>
      </c>
      <c r="P80" s="2">
        <f t="shared" si="46"/>
        <v>0</v>
      </c>
      <c r="Q80" s="1240" t="str">
        <f>TEXT('MYP Assumptions'!G72,"0.00%")&amp;", CPI"</f>
        <v>2.86%, CPI</v>
      </c>
      <c r="S80" s="83" t="str">
        <f t="shared" si="42"/>
        <v>0.00%</v>
      </c>
      <c r="T80" s="2">
        <f t="shared" si="47"/>
        <v>0</v>
      </c>
      <c r="U80" s="81" t="str">
        <f>TEXT('MYP Assumptions'!H72,"0.00%")&amp;", CPI"</f>
        <v>2.73%, CPI</v>
      </c>
      <c r="W80" s="83" t="str">
        <f t="shared" si="43"/>
        <v>0.00%</v>
      </c>
      <c r="X80" s="2">
        <f t="shared" si="48"/>
        <v>0</v>
      </c>
      <c r="Y80" s="81" t="str">
        <f>TEXT('MYP Assumptions'!I72,"0.00%")&amp;", CPI"</f>
        <v>2.73%, CPI</v>
      </c>
      <c r="AA80" s="83" t="str">
        <f t="shared" si="44"/>
        <v>0.00%</v>
      </c>
      <c r="AB80" s="2">
        <f t="shared" si="49"/>
        <v>0</v>
      </c>
      <c r="AC80" s="81" t="str">
        <f>TEXT('MYP Assumptions'!J72,"0.00%")&amp;", CPI"</f>
        <v>2.73%, CPI</v>
      </c>
    </row>
    <row r="81" spans="1:29" x14ac:dyDescent="0.25">
      <c r="A81" s="29"/>
      <c r="D81" s="8">
        <f>SUM(D68:D80)</f>
        <v>15642</v>
      </c>
      <c r="E81" s="1249"/>
      <c r="F81" s="2"/>
      <c r="G81" s="1527">
        <f t="shared" si="51"/>
        <v>-4.1043344840813192E-2</v>
      </c>
      <c r="H81" s="8">
        <f>SUM(H68:H80)</f>
        <v>15000</v>
      </c>
      <c r="I81" s="1882">
        <f>+H81-D81</f>
        <v>-642</v>
      </c>
      <c r="J81" s="29"/>
      <c r="K81" s="1527">
        <f t="shared" si="40"/>
        <v>0</v>
      </c>
      <c r="L81" s="8">
        <f>SUM(L68:L80)</f>
        <v>15000</v>
      </c>
      <c r="M81" s="1882">
        <f>+L81-H81</f>
        <v>0</v>
      </c>
      <c r="O81" s="1527">
        <f t="shared" si="41"/>
        <v>0</v>
      </c>
      <c r="P81" s="8">
        <f>SUM(P68:P80)</f>
        <v>15000</v>
      </c>
      <c r="Q81" s="1882">
        <f>+P81-L81</f>
        <v>0</v>
      </c>
      <c r="S81" s="83">
        <f t="shared" si="42"/>
        <v>0</v>
      </c>
      <c r="T81" s="8">
        <f>SUM(T68:T80)</f>
        <v>15000</v>
      </c>
      <c r="U81" s="73"/>
      <c r="W81" s="83">
        <f t="shared" si="43"/>
        <v>0</v>
      </c>
      <c r="X81" s="8">
        <f>SUM(X68:X80)</f>
        <v>15000</v>
      </c>
      <c r="Y81" s="73"/>
      <c r="AA81" s="83">
        <f t="shared" si="44"/>
        <v>2.7333333333333334E-2</v>
      </c>
      <c r="AB81" s="8">
        <f>SUM(AB68:AB80)</f>
        <v>15410</v>
      </c>
      <c r="AC81" s="73"/>
    </row>
    <row r="82" spans="1:29" x14ac:dyDescent="0.25">
      <c r="A82" s="66"/>
      <c r="B82" s="1323"/>
      <c r="E82" s="1249"/>
      <c r="F82" s="2"/>
      <c r="G82" s="1527"/>
      <c r="H82" s="2"/>
      <c r="I82" s="1257"/>
      <c r="J82" s="66"/>
      <c r="L82" s="2"/>
      <c r="M82" s="1335"/>
      <c r="Q82" s="1335"/>
      <c r="T82" s="2"/>
      <c r="U82" s="73"/>
      <c r="X82" s="2"/>
      <c r="Y82" s="73"/>
      <c r="AB82" s="2"/>
      <c r="AC82" s="73"/>
    </row>
    <row r="83" spans="1:29" x14ac:dyDescent="0.25">
      <c r="A83" s="66"/>
      <c r="E83" s="1249"/>
      <c r="F83" s="2"/>
      <c r="H83" s="2"/>
      <c r="I83" s="1257"/>
      <c r="J83" s="66"/>
      <c r="L83" s="2"/>
      <c r="M83" s="1335"/>
      <c r="Q83" s="1335"/>
      <c r="T83" s="2"/>
      <c r="U83" s="73"/>
      <c r="X83" s="2"/>
      <c r="Y83" s="73"/>
      <c r="AB83" s="2"/>
      <c r="AC83" s="73"/>
    </row>
    <row r="84" spans="1:29" x14ac:dyDescent="0.25">
      <c r="A84" s="29"/>
      <c r="B84" s="1323" t="s">
        <v>0</v>
      </c>
      <c r="D84" s="8">
        <f>SUM(D81,D65,D54,D13)</f>
        <v>209582.78</v>
      </c>
      <c r="E84" s="1249"/>
      <c r="F84" s="2"/>
      <c r="G84" s="1527">
        <f>IF(D84=0,"0.00%",(H84-D84)/D84)</f>
        <v>0.16979553377429196</v>
      </c>
      <c r="H84" s="8">
        <f>SUM(H81,H65,H54,H13)</f>
        <v>245169</v>
      </c>
      <c r="I84" s="1882">
        <f>+H84-D84</f>
        <v>35586.22</v>
      </c>
      <c r="J84" s="29"/>
      <c r="K84" s="1527">
        <f>IF(H84=0,"0.00%",(L84-H84)/H84)</f>
        <v>3.5228760569239993E-2</v>
      </c>
      <c r="L84" s="8">
        <f>SUM(L81,L65,L54,L13)</f>
        <v>253806</v>
      </c>
      <c r="M84" s="1882">
        <f>+L84-H84</f>
        <v>8637</v>
      </c>
      <c r="O84" s="1527">
        <f>IF(L84=0,"0.00%",(P84-L84)/L84)</f>
        <v>-5.4837159090013632E-2</v>
      </c>
      <c r="P84" s="8">
        <f>SUM(P81,P65,P54,P13)</f>
        <v>239888</v>
      </c>
      <c r="Q84" s="1882">
        <f>+P84-L84</f>
        <v>-13918</v>
      </c>
      <c r="S84" s="83">
        <f>IF(P84=0,"0.00%",(T84-P84)/P84)</f>
        <v>0.10900086707129994</v>
      </c>
      <c r="T84" s="8">
        <f>SUM(T81,T65,T54,T13)</f>
        <v>266036</v>
      </c>
      <c r="U84" s="73"/>
      <c r="W84" s="83">
        <f>IF(T84=0,"0.00%",(X84-T84)/T84)</f>
        <v>2.3917815633974351E-2</v>
      </c>
      <c r="X84" s="8">
        <f>SUM(X81,X65,X54,X13)</f>
        <v>272399</v>
      </c>
      <c r="Y84" s="73"/>
      <c r="AA84" s="83">
        <f>IF(X84=0,"0.00%",(AB84-X84)/X84)</f>
        <v>0.22252651441451693</v>
      </c>
      <c r="AB84" s="8">
        <f>SUM(AB81,AB65,AB54,AB13)</f>
        <v>333015</v>
      </c>
      <c r="AC84" s="73"/>
    </row>
    <row r="85" spans="1:29" x14ac:dyDescent="0.25">
      <c r="A85" s="66"/>
      <c r="E85" s="1249"/>
      <c r="F85" s="2"/>
      <c r="H85" s="2"/>
      <c r="I85" s="1257"/>
      <c r="J85" s="66"/>
      <c r="L85" s="2"/>
      <c r="M85" s="1335"/>
      <c r="Q85" s="1335"/>
      <c r="T85" s="2"/>
      <c r="U85" s="73"/>
      <c r="X85" s="2"/>
      <c r="Y85" s="73"/>
      <c r="AB85" s="2"/>
      <c r="AC85" s="73"/>
    </row>
    <row r="86" spans="1:29" x14ac:dyDescent="0.25">
      <c r="A86" s="66"/>
      <c r="B86" s="1323" t="s">
        <v>138</v>
      </c>
      <c r="D86" s="3">
        <f>D11-D84</f>
        <v>0</v>
      </c>
      <c r="G86" s="1527" t="str">
        <f>IF(D86=0,"0.00%",(H86-D86)/D86)</f>
        <v>0.00%</v>
      </c>
      <c r="H86" s="3">
        <f>H11-H84</f>
        <v>0</v>
      </c>
      <c r="I86" s="1257"/>
      <c r="J86" s="66"/>
      <c r="K86" s="1527" t="str">
        <f>IF(H86=0,"0.00%",(L86-H86)/H86)</f>
        <v>0.00%</v>
      </c>
      <c r="L86" s="3">
        <f>L11-L84</f>
        <v>0</v>
      </c>
      <c r="M86" s="1335"/>
      <c r="O86" s="1527" t="str">
        <f>IF(L86=0,"0.00%",(P86-L86)/L86)</f>
        <v>0.00%</v>
      </c>
      <c r="P86" s="3">
        <f>P11-P84</f>
        <v>0</v>
      </c>
      <c r="Q86" s="1335"/>
      <c r="S86" s="83" t="str">
        <f>IF(P86=0,"0.00%",(T86-P86)/P86)</f>
        <v>0.00%</v>
      </c>
      <c r="T86" s="3">
        <f>T11-T84</f>
        <v>-65424</v>
      </c>
      <c r="U86" s="73"/>
      <c r="W86" s="83">
        <f>IF(T86=0,"0.00%",(X86-T86)/T86)</f>
        <v>-0.20290719002201027</v>
      </c>
      <c r="X86" s="3">
        <f>X11-X84</f>
        <v>-52149</v>
      </c>
      <c r="Y86" s="73"/>
      <c r="AA86" s="83">
        <f>IF(X86=0,"0.00%",(AB86-X86)/X86)</f>
        <v>1.1623616943757311</v>
      </c>
      <c r="AB86" s="3">
        <f>AB11-AB84</f>
        <v>-112765</v>
      </c>
      <c r="AC86" s="73"/>
    </row>
    <row r="87" spans="1:29" x14ac:dyDescent="0.25">
      <c r="B87" s="1323"/>
      <c r="C87" s="1317"/>
      <c r="D87" s="3"/>
      <c r="H87" s="3"/>
      <c r="I87" s="1257"/>
      <c r="J87" s="66"/>
      <c r="L87" s="3"/>
      <c r="M87" s="1335"/>
      <c r="P87" s="3"/>
      <c r="Q87" s="1335"/>
      <c r="T87" s="44"/>
      <c r="U87" s="73"/>
      <c r="X87" s="44"/>
      <c r="Y87" s="73"/>
      <c r="AB87" s="44"/>
      <c r="AC87" s="73"/>
    </row>
    <row r="88" spans="1:29" x14ac:dyDescent="0.25">
      <c r="B88" s="1323" t="s">
        <v>136</v>
      </c>
      <c r="C88" s="1319"/>
      <c r="D88" s="3">
        <f>D7+D86</f>
        <v>0</v>
      </c>
      <c r="G88" s="1527" t="str">
        <f>IF(D88=0,"0.00%",(H88-D88)/D88)</f>
        <v>0.00%</v>
      </c>
      <c r="H88" s="3">
        <f>H7+H86</f>
        <v>0</v>
      </c>
      <c r="I88" s="1257"/>
      <c r="J88" s="66"/>
      <c r="K88" s="1527" t="str">
        <f>IF(H88=0,"0.00%",(L88-H88)/H88)</f>
        <v>0.00%</v>
      </c>
      <c r="L88" s="3">
        <f>L7+L86</f>
        <v>0</v>
      </c>
      <c r="M88" s="1335">
        <f>+L88/1.0444</f>
        <v>0</v>
      </c>
      <c r="O88" s="1527" t="str">
        <f>IF(L88=0,"0.00%",(P88-L88)/L88)</f>
        <v>0.00%</v>
      </c>
      <c r="P88" s="3">
        <f>P7+P86</f>
        <v>0</v>
      </c>
      <c r="Q88" s="1335"/>
      <c r="S88" s="83" t="str">
        <f>IF(P88=0,"0.00%",(T88-P88)/P88)</f>
        <v>0.00%</v>
      </c>
      <c r="T88" s="49">
        <f>T7+T86</f>
        <v>-65424</v>
      </c>
      <c r="U88" s="73"/>
      <c r="W88" s="83">
        <f>IF(T88=0,"0.00%",(X88-T88)/T88)</f>
        <v>0.7970928099779897</v>
      </c>
      <c r="X88" s="49">
        <f>X7+X86</f>
        <v>-117573</v>
      </c>
      <c r="Y88" s="73"/>
      <c r="AA88" s="83">
        <f>IF(X88=0,"0.00%",(AB88-X88)/X88)</f>
        <v>0.95910625738902644</v>
      </c>
      <c r="AB88" s="49">
        <f>AB7+AB86</f>
        <v>-230338</v>
      </c>
      <c r="AC88" s="73"/>
    </row>
    <row r="89" spans="1:29" x14ac:dyDescent="0.25">
      <c r="C89" s="1259"/>
      <c r="G89" s="1540"/>
      <c r="H89" s="2"/>
      <c r="I89" s="1258"/>
      <c r="J89" s="29"/>
      <c r="L89" s="2"/>
      <c r="M89" s="1335"/>
      <c r="Q89" s="1335"/>
      <c r="U89" s="73"/>
      <c r="Y89" s="73"/>
      <c r="AC89" s="73"/>
    </row>
    <row r="90" spans="1:29" x14ac:dyDescent="0.25">
      <c r="C90" s="1254"/>
      <c r="G90" s="1540"/>
      <c r="H90" s="36"/>
      <c r="I90" s="1257"/>
      <c r="J90" s="66"/>
      <c r="L90" s="2"/>
      <c r="M90" s="1335"/>
      <c r="Q90" s="1335"/>
      <c r="T90" s="2"/>
      <c r="U90" s="73"/>
      <c r="X90" s="2"/>
      <c r="Y90" s="73"/>
      <c r="AB90" s="2"/>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s="138" customFormat="1" ht="11.25" x14ac:dyDescent="0.2">
      <c r="A94" s="132"/>
      <c r="B94" s="1329"/>
      <c r="C94" s="1330" t="s">
        <v>226</v>
      </c>
      <c r="D94" s="135">
        <f>+D81+D65+D52+D40+D29</f>
        <v>202104.78</v>
      </c>
      <c r="E94" s="1251"/>
      <c r="G94" s="1541" t="s">
        <v>226</v>
      </c>
      <c r="H94" s="135">
        <f>+H81+H65+H52+H40+H29</f>
        <v>234746</v>
      </c>
      <c r="I94" s="1260"/>
      <c r="J94" s="136"/>
      <c r="K94" s="1541" t="s">
        <v>226</v>
      </c>
      <c r="L94" s="135">
        <f>+L81+L65+L52+L40+L29</f>
        <v>243016</v>
      </c>
      <c r="M94" s="1338"/>
      <c r="O94" s="1541" t="s">
        <v>226</v>
      </c>
      <c r="P94" s="135">
        <f>+P81+P65+P52+P40+P29</f>
        <v>229690</v>
      </c>
      <c r="Q94" s="1338"/>
      <c r="R94" s="140"/>
      <c r="S94" s="134" t="s">
        <v>226</v>
      </c>
      <c r="T94" s="135">
        <f>+T81+T65+T52+T40+T29</f>
        <v>258878</v>
      </c>
      <c r="U94" s="139"/>
      <c r="W94" s="134" t="s">
        <v>226</v>
      </c>
      <c r="X94" s="135">
        <f>+X81+X65+X52+X40+X29</f>
        <v>264541</v>
      </c>
      <c r="Y94" s="139"/>
      <c r="AA94" s="134" t="s">
        <v>226</v>
      </c>
      <c r="AB94" s="135">
        <f>+AB81+AB65+AB52+AB40+AB29</f>
        <v>270784</v>
      </c>
      <c r="AC94" s="139"/>
    </row>
    <row r="95" spans="1:29" s="138" customFormat="1" ht="11.25" x14ac:dyDescent="0.2">
      <c r="A95" s="141"/>
      <c r="B95" s="1329"/>
      <c r="C95" s="1331" t="s">
        <v>227</v>
      </c>
      <c r="D95" s="143">
        <f>+D13</f>
        <v>7478</v>
      </c>
      <c r="E95" s="1252"/>
      <c r="F95" s="145"/>
      <c r="G95" s="1546" t="s">
        <v>227</v>
      </c>
      <c r="H95" s="143">
        <f>+H13</f>
        <v>10423</v>
      </c>
      <c r="I95" s="1338"/>
      <c r="J95" s="144"/>
      <c r="K95" s="1546" t="s">
        <v>227</v>
      </c>
      <c r="L95" s="143">
        <f>+L13</f>
        <v>10790</v>
      </c>
      <c r="M95" s="1338"/>
      <c r="O95" s="1546" t="s">
        <v>227</v>
      </c>
      <c r="P95" s="143">
        <f>+P13</f>
        <v>10198</v>
      </c>
      <c r="Q95" s="1338"/>
      <c r="R95" s="140"/>
      <c r="S95" s="142" t="s">
        <v>227</v>
      </c>
      <c r="T95" s="143">
        <f>+T13</f>
        <v>7158</v>
      </c>
      <c r="W95" s="142" t="s">
        <v>227</v>
      </c>
      <c r="X95" s="143">
        <f>+X13</f>
        <v>7858</v>
      </c>
      <c r="AA95" s="142" t="s">
        <v>227</v>
      </c>
      <c r="AB95" s="143">
        <f>+AB13</f>
        <v>62231</v>
      </c>
    </row>
    <row r="96" spans="1:29" s="138" customFormat="1" ht="11.25" x14ac:dyDescent="0.2">
      <c r="A96" s="141"/>
      <c r="B96" s="1329"/>
      <c r="C96" s="1331"/>
      <c r="D96" s="146">
        <f>+D94+D95</f>
        <v>209582.78</v>
      </c>
      <c r="E96" s="1252"/>
      <c r="F96" s="145"/>
      <c r="G96" s="1546"/>
      <c r="H96" s="146">
        <f>+H94+H95</f>
        <v>245169</v>
      </c>
      <c r="I96" s="1261"/>
      <c r="J96" s="144"/>
      <c r="K96" s="1546"/>
      <c r="L96" s="146">
        <f>+L94+L95</f>
        <v>253806</v>
      </c>
      <c r="M96" s="1251"/>
      <c r="O96" s="1546"/>
      <c r="P96" s="146">
        <f>+P94+P95</f>
        <v>239888</v>
      </c>
      <c r="Q96" s="1251"/>
      <c r="R96" s="140"/>
      <c r="S96" s="142"/>
      <c r="T96" s="146">
        <f>+T94+T95</f>
        <v>266036</v>
      </c>
      <c r="W96" s="142"/>
      <c r="X96" s="146">
        <f>+X94+X95</f>
        <v>272399</v>
      </c>
      <c r="AA96" s="142"/>
      <c r="AB96" s="146">
        <f>+AB94+AB95</f>
        <v>333015</v>
      </c>
    </row>
    <row r="97" spans="1:28" ht="15" customHeight="1" x14ac:dyDescent="0.25">
      <c r="A97" s="66"/>
      <c r="B97" s="1332"/>
      <c r="C97" s="1332"/>
      <c r="D97" s="5">
        <f>+D84-D96</f>
        <v>0</v>
      </c>
      <c r="E97" s="1249"/>
      <c r="F97" s="2"/>
      <c r="G97" s="1543"/>
      <c r="H97" s="5">
        <f>+H84-H96</f>
        <v>0</v>
      </c>
      <c r="K97" s="1543"/>
      <c r="L97" s="5">
        <f>+L84-L96</f>
        <v>0</v>
      </c>
      <c r="O97" s="1543"/>
      <c r="P97" s="5">
        <f>+P84-P96</f>
        <v>0</v>
      </c>
      <c r="S97" s="103"/>
      <c r="T97" s="5">
        <f>+T84-T96</f>
        <v>0</v>
      </c>
      <c r="W97" s="103"/>
      <c r="X97" s="5">
        <f>+X84-X96</f>
        <v>0</v>
      </c>
      <c r="AA97" s="103"/>
      <c r="AB97" s="5">
        <f>+AB84-AB96</f>
        <v>0</v>
      </c>
    </row>
    <row r="98" spans="1:28" x14ac:dyDescent="0.25">
      <c r="A98" s="66"/>
      <c r="B98" s="1332"/>
      <c r="C98" s="1332"/>
      <c r="D98" s="36"/>
      <c r="E98" s="1249"/>
      <c r="F98" s="2"/>
    </row>
    <row r="99" spans="1:28" x14ac:dyDescent="0.25">
      <c r="A99" s="66"/>
      <c r="B99" s="1319"/>
      <c r="C99" s="1254"/>
      <c r="D99" s="25"/>
      <c r="E99" s="1249"/>
      <c r="F99" s="2"/>
    </row>
    <row r="100" spans="1:28" x14ac:dyDescent="0.25">
      <c r="B100" s="1319"/>
      <c r="C100" s="1254"/>
      <c r="D100" s="36"/>
    </row>
    <row r="101" spans="1:28" x14ac:dyDescent="0.25">
      <c r="B101" s="1319"/>
      <c r="C101" s="1254"/>
      <c r="D101" s="36"/>
    </row>
    <row r="102" spans="1:28" ht="15" customHeight="1" x14ac:dyDescent="0.25">
      <c r="B102" s="1319"/>
      <c r="C102" s="1254"/>
      <c r="D102" s="36"/>
    </row>
    <row r="103" spans="1:28" x14ac:dyDescent="0.25">
      <c r="B103" s="1319"/>
      <c r="C103" s="1254"/>
      <c r="D103" s="36"/>
    </row>
    <row r="104" spans="1:28" x14ac:dyDescent="0.25">
      <c r="B104" s="1319"/>
      <c r="C104" s="1254"/>
      <c r="D104" s="36"/>
    </row>
    <row r="105" spans="1:28" ht="15" customHeight="1" x14ac:dyDescent="0.25">
      <c r="B105" s="2151"/>
      <c r="C105" s="2151"/>
      <c r="D105" s="36"/>
    </row>
    <row r="106" spans="1:28" x14ac:dyDescent="0.25">
      <c r="B106" s="2151"/>
      <c r="C106" s="2151"/>
      <c r="D106" s="36"/>
    </row>
    <row r="107" spans="1:28" x14ac:dyDescent="0.25">
      <c r="B107" s="1319"/>
      <c r="C107" s="1254"/>
      <c r="D107" s="6"/>
    </row>
    <row r="108" spans="1:28" x14ac:dyDescent="0.25">
      <c r="B108" s="1319"/>
      <c r="C108" s="1254"/>
      <c r="D108" s="36"/>
    </row>
    <row r="109" spans="1:28" x14ac:dyDescent="0.25">
      <c r="B109" s="1319"/>
      <c r="C109" s="1254"/>
      <c r="D109" s="36"/>
    </row>
    <row r="110" spans="1:28" ht="28.5" customHeight="1" x14ac:dyDescent="0.25">
      <c r="B110" s="1319"/>
      <c r="C110" s="1254"/>
      <c r="D110" s="25"/>
    </row>
    <row r="111" spans="1:28" x14ac:dyDescent="0.25">
      <c r="B111" s="1319"/>
      <c r="C111" s="1254"/>
      <c r="D111" s="36"/>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sheetData>
  <mergeCells count="1">
    <mergeCell ref="B105:C106"/>
  </mergeCells>
  <pageMargins left="0.25" right="0.25" top="0.5" bottom="0.5" header="0.25" footer="0.25"/>
  <pageSetup paperSize="5" scale="41" orientation="portrait" r:id="rId1"/>
  <headerFooter>
    <oddHeader>&amp;L&amp;F</oddHeader>
    <oddFooter>&amp;R&amp;A</oddFooter>
  </headerFooter>
  <ignoredErrors>
    <ignoredError sqref="B21"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7"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56" customWidth="1"/>
    <col min="2" max="2" width="8.5703125" style="1317" customWidth="1"/>
    <col min="3" max="3" width="18.28515625" style="1243" customWidth="1"/>
    <col min="4" max="4" width="16" style="2" customWidth="1"/>
    <col min="5" max="5" width="17.7109375" style="1243"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8.7109375" style="1550" bestFit="1"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16"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224</v>
      </c>
      <c r="D1" s="97">
        <v>20112</v>
      </c>
      <c r="E1" s="1241"/>
      <c r="F1" s="98"/>
      <c r="G1" s="75"/>
      <c r="H1" s="1482"/>
      <c r="I1" s="1241"/>
      <c r="K1" s="81"/>
      <c r="L1" s="123"/>
      <c r="M1" s="1241"/>
      <c r="N1" s="51"/>
      <c r="O1" s="81"/>
      <c r="P1" s="123"/>
      <c r="Q1" s="1241"/>
      <c r="T1" s="86">
        <f>P1</f>
        <v>0</v>
      </c>
      <c r="U1" s="98"/>
      <c r="X1" s="86">
        <f>T1</f>
        <v>0</v>
      </c>
      <c r="Y1" s="98"/>
      <c r="AB1" s="86">
        <f>X1</f>
        <v>0</v>
      </c>
      <c r="AC1" s="98"/>
    </row>
    <row r="2" spans="1:29" ht="17.25" x14ac:dyDescent="0.4">
      <c r="B2" s="1319" t="s">
        <v>59</v>
      </c>
      <c r="C2" s="1320" t="s">
        <v>725</v>
      </c>
      <c r="D2" s="99">
        <v>3416.3</v>
      </c>
      <c r="E2" s="1241"/>
      <c r="F2" s="98"/>
      <c r="G2" s="1534"/>
      <c r="H2" s="1482"/>
      <c r="I2" s="1241"/>
      <c r="K2" s="81"/>
      <c r="L2" s="87"/>
      <c r="M2" s="1241"/>
      <c r="N2" s="51"/>
      <c r="O2" s="81"/>
      <c r="P2" s="87"/>
      <c r="Q2" s="1241"/>
      <c r="T2" s="87">
        <v>0</v>
      </c>
      <c r="U2" s="98"/>
      <c r="X2" s="87">
        <v>0</v>
      </c>
      <c r="Y2" s="98"/>
      <c r="AB2" s="87">
        <v>0</v>
      </c>
      <c r="AC2" s="98"/>
    </row>
    <row r="3" spans="1:29" x14ac:dyDescent="0.25">
      <c r="D3" s="425">
        <f>+SUM(D1:D2)</f>
        <v>23528.3</v>
      </c>
      <c r="E3" s="1242"/>
      <c r="F3" s="100"/>
      <c r="G3" s="1527"/>
      <c r="H3" s="1483"/>
      <c r="I3" s="1253"/>
      <c r="K3" s="81"/>
      <c r="L3" s="123"/>
      <c r="M3" s="1254"/>
      <c r="N3" s="51"/>
      <c r="O3" s="81"/>
      <c r="P3" s="123"/>
      <c r="Q3" s="1254"/>
      <c r="T3" s="86">
        <f>SUM(T1:T2)</f>
        <v>0</v>
      </c>
      <c r="U3" s="51"/>
      <c r="X3" s="86">
        <f>SUM(X1:X2)</f>
        <v>0</v>
      </c>
      <c r="Y3" s="51"/>
      <c r="AB3" s="86">
        <f>SUM(AB1:AB2)</f>
        <v>0</v>
      </c>
      <c r="AC3" s="51"/>
    </row>
    <row r="4" spans="1:29" x14ac:dyDescent="0.25">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8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D89</f>
        <v>0</v>
      </c>
      <c r="I7" s="1315"/>
      <c r="J7" s="60"/>
      <c r="L7" s="2">
        <f>H89</f>
        <v>0</v>
      </c>
      <c r="M7" s="1315"/>
      <c r="P7" s="2">
        <f>L89</f>
        <v>0</v>
      </c>
      <c r="Q7" s="1315"/>
      <c r="T7" s="2">
        <f>P89</f>
        <v>0</v>
      </c>
      <c r="U7" s="105"/>
      <c r="X7" s="2">
        <f>T89</f>
        <v>-22166</v>
      </c>
      <c r="Y7" s="105"/>
      <c r="AB7" s="2">
        <f>X89</f>
        <v>-44938</v>
      </c>
      <c r="AC7" s="105"/>
    </row>
    <row r="8" spans="1:29" x14ac:dyDescent="0.25">
      <c r="E8" s="1315"/>
      <c r="H8" s="2"/>
      <c r="I8" s="1315"/>
      <c r="L8" s="2"/>
      <c r="M8" s="1315"/>
      <c r="Q8" s="1315"/>
      <c r="U8" s="105"/>
      <c r="Y8" s="105"/>
      <c r="AC8" s="105"/>
    </row>
    <row r="9" spans="1:29" x14ac:dyDescent="0.25">
      <c r="B9" s="1317" t="s">
        <v>52</v>
      </c>
      <c r="C9" s="1243" t="s">
        <v>53</v>
      </c>
      <c r="D9" s="2">
        <v>20112</v>
      </c>
      <c r="E9" s="1315"/>
      <c r="G9" s="1527">
        <f>IF(D9=0,"0.00%",(H9-D9)/D9)</f>
        <v>0.12047533810660302</v>
      </c>
      <c r="H9" s="3">
        <v>22535</v>
      </c>
      <c r="I9" s="1315" t="s">
        <v>174</v>
      </c>
      <c r="J9" s="61"/>
      <c r="K9" s="1527">
        <f>IF(H9=0,"0.00%",(L9-H9)/H9)</f>
        <v>0</v>
      </c>
      <c r="L9" s="3">
        <f>+H9</f>
        <v>22535</v>
      </c>
      <c r="M9" s="1315" t="s">
        <v>174</v>
      </c>
      <c r="O9" s="1527">
        <f>IF(L9=0,"0.00%",(P9-L9)/L9)</f>
        <v>0</v>
      </c>
      <c r="P9" s="3">
        <f>+L9</f>
        <v>22535</v>
      </c>
      <c r="Q9" s="1315" t="s">
        <v>174</v>
      </c>
      <c r="S9" s="83">
        <f>IF(P9=0,"0.00%",(T9-P9)/P9)</f>
        <v>-1</v>
      </c>
      <c r="T9" s="3">
        <f>T3</f>
        <v>0</v>
      </c>
      <c r="U9" s="105"/>
      <c r="W9" s="83" t="str">
        <f>IF(T9=0,"0.00%",(X9-T9)/T9)</f>
        <v>0.00%</v>
      </c>
      <c r="X9" s="3">
        <f>X3</f>
        <v>0</v>
      </c>
      <c r="Y9" s="105"/>
      <c r="AA9" s="83" t="str">
        <f>IF(X9=0,"0.00%",(AB9-X9)/X9)</f>
        <v>0.00%</v>
      </c>
      <c r="AB9" s="3">
        <f>AB3</f>
        <v>0</v>
      </c>
      <c r="AC9" s="105"/>
    </row>
    <row r="10" spans="1:29" x14ac:dyDescent="0.25">
      <c r="C10" s="1243" t="s">
        <v>51</v>
      </c>
      <c r="D10" s="2">
        <v>3416.3</v>
      </c>
      <c r="E10" s="1315"/>
      <c r="G10" s="1527">
        <f t="shared" ref="G10:G15" si="0">IF(D10=0,"0.00%",(H10-D10)/D10)</f>
        <v>-1</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23528.3</v>
      </c>
      <c r="E11" s="1315"/>
      <c r="G11" s="1527">
        <f t="shared" si="0"/>
        <v>-4.2217244764815108E-2</v>
      </c>
      <c r="H11" s="8">
        <f>SUM(H9:H10)</f>
        <v>22535</v>
      </c>
      <c r="I11" s="1882">
        <f>+H11-D11</f>
        <v>-993.29999999999927</v>
      </c>
      <c r="J11" s="62"/>
      <c r="K11" s="1527">
        <f>IF(H11=0,"0.00%",(L11-H11)/H11)</f>
        <v>0</v>
      </c>
      <c r="L11" s="8">
        <f>SUM(L9:L10)</f>
        <v>22535</v>
      </c>
      <c r="M11" s="1882">
        <f>+L11-H11</f>
        <v>0</v>
      </c>
      <c r="O11" s="1527">
        <f>IF(L11=0,"0.00%",(P11-L11)/L11)</f>
        <v>0</v>
      </c>
      <c r="P11" s="8">
        <f>SUM(P9:P10)</f>
        <v>22535</v>
      </c>
      <c r="Q11" s="1882">
        <f>+P11-L11</f>
        <v>0</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C13" s="1325" t="s">
        <v>64</v>
      </c>
      <c r="D13" s="9">
        <f>ROUNDUP(D11-(D11/(1+E13)),0)</f>
        <v>462</v>
      </c>
      <c r="E13" s="1426">
        <v>0.02</v>
      </c>
      <c r="G13" s="1527">
        <f t="shared" si="0"/>
        <v>1.0735930735930737</v>
      </c>
      <c r="H13" s="9">
        <f>ROUND(H11-(H11/(1+I13)),0)</f>
        <v>958</v>
      </c>
      <c r="I13" s="1488">
        <v>4.4400000000000002E-2</v>
      </c>
      <c r="J13" s="64"/>
      <c r="K13" s="1527">
        <f>IF(H13=0,"0.00%",(L13-H13)/H13)</f>
        <v>0</v>
      </c>
      <c r="L13" s="9">
        <f>ROUND(L11-(L11/(1+M13)),0)</f>
        <v>958</v>
      </c>
      <c r="M13" s="1488">
        <v>4.4400000000000002E-2</v>
      </c>
      <c r="O13" s="1527">
        <f>IF(L13=0,"0.00%",(P13-L13)/L13)</f>
        <v>0</v>
      </c>
      <c r="P13" s="9">
        <f>ROUND(P11-(P11/(1+Q13)),0)</f>
        <v>958</v>
      </c>
      <c r="Q13" s="1488">
        <v>4.4400000000000002E-2</v>
      </c>
      <c r="S13" s="83">
        <f>IF(P13=0,"0.00%",(T13-P13)/P13)</f>
        <v>-1</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23066.3</v>
      </c>
      <c r="E15" s="1315"/>
      <c r="G15" s="1527">
        <f t="shared" si="0"/>
        <v>-6.4566055240762463E-2</v>
      </c>
      <c r="H15" s="9">
        <f>H11-H13</f>
        <v>21577</v>
      </c>
      <c r="I15" s="1315"/>
      <c r="J15" s="62"/>
      <c r="K15" s="1527">
        <f>IF(H15=0,"0.00%",(L15-H15)/H15)</f>
        <v>0</v>
      </c>
      <c r="L15" s="9">
        <f>L11-L13</f>
        <v>21577</v>
      </c>
      <c r="M15" s="1882">
        <f>+L15-H15</f>
        <v>0</v>
      </c>
      <c r="O15" s="1527">
        <f>IF(L15=0,"0.00%",(P15-L15)/L15)</f>
        <v>0</v>
      </c>
      <c r="P15" s="9">
        <f>P11-P13</f>
        <v>21577</v>
      </c>
      <c r="Q15" s="1882">
        <f>+P15-L15</f>
        <v>0</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315"/>
      <c r="H16" s="3"/>
      <c r="I16" s="1882">
        <f>+H16-D16</f>
        <v>0</v>
      </c>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32"/>
      <c r="D18" s="29" t="s">
        <v>874</v>
      </c>
      <c r="E18" s="1316"/>
      <c r="F18" s="32"/>
      <c r="H18" s="29" t="s">
        <v>177</v>
      </c>
      <c r="I18" s="1316"/>
      <c r="J18" s="65"/>
      <c r="M18" s="1316"/>
      <c r="Q18" s="1316"/>
      <c r="U18" s="106"/>
      <c r="Y18" s="106"/>
      <c r="AC18" s="106"/>
    </row>
    <row r="19" spans="1:29" ht="17.25" x14ac:dyDescent="0.4">
      <c r="A19" s="79"/>
      <c r="D19" s="35" t="s">
        <v>875</v>
      </c>
      <c r="E19" s="1246"/>
      <c r="F19" s="34"/>
      <c r="H19" s="35" t="s">
        <v>48</v>
      </c>
      <c r="I19" s="1256"/>
      <c r="J19" s="29"/>
      <c r="L19" s="14" t="s">
        <v>48</v>
      </c>
      <c r="M19" s="1256"/>
      <c r="P19" s="14" t="s">
        <v>48</v>
      </c>
      <c r="Q19" s="1256"/>
      <c r="T19" s="14" t="s">
        <v>48</v>
      </c>
      <c r="U19" s="104">
        <v>0.02</v>
      </c>
      <c r="X19" s="14" t="s">
        <v>48</v>
      </c>
      <c r="Y19" s="104">
        <v>0.02</v>
      </c>
      <c r="AB19" s="14" t="s">
        <v>48</v>
      </c>
      <c r="AC19" s="104">
        <v>0.02</v>
      </c>
    </row>
    <row r="20" spans="1:29" s="13" customFormat="1" hidden="1" x14ac:dyDescent="0.25">
      <c r="A20" s="58"/>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61"/>
      <c r="B21" s="1326" t="s">
        <v>65</v>
      </c>
      <c r="C21" s="1243" t="s">
        <v>66</v>
      </c>
      <c r="D21" s="2">
        <v>0</v>
      </c>
      <c r="E21" s="1249"/>
      <c r="F21" s="2"/>
      <c r="G21" s="1527" t="str">
        <f t="shared" ref="G21:G30" si="1">IF(D21=0,"0.00%",(H21-D21)/D21)</f>
        <v>0.00%</v>
      </c>
      <c r="H21" s="2">
        <f t="shared" ref="H21:H27" si="2">ROUND(D21*(1+$I$19),0)</f>
        <v>0</v>
      </c>
      <c r="I21" s="1240" t="str">
        <f t="shared" ref="I21:I28" si="3">TEXT($I$19,"0.0%")&amp;" = Est. S &amp; C"</f>
        <v>0.0% = Est. S &amp; C</v>
      </c>
      <c r="J21" s="66"/>
      <c r="K21" s="1527" t="str">
        <f t="shared" ref="K21:K27" si="4">IF(H21=0,"0.00%",(L21-H21)/H21)</f>
        <v>0.00%</v>
      </c>
      <c r="L21" s="2">
        <f>ROUND(H21*(1+M19),0)</f>
        <v>0</v>
      </c>
      <c r="M21" s="1257" t="str">
        <f>TEXT(M19,"0.0%")&amp;" = Est. S &amp; C"</f>
        <v>0.0% = Est. S &amp; C</v>
      </c>
      <c r="O21" s="1527" t="str">
        <f t="shared" ref="O21:O27" si="5">IF(L21=0,"0.00%",(P21-L21)/L21)</f>
        <v>0.00%</v>
      </c>
      <c r="P21" s="2">
        <f>ROUND(L21*(1+Q19),0)</f>
        <v>0</v>
      </c>
      <c r="Q21" s="1257" t="str">
        <f>TEXT(Q19,"0.0%")&amp;" = Est. S &amp; C"</f>
        <v>0.0%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66"/>
      <c r="B22" s="1326" t="s">
        <v>45</v>
      </c>
      <c r="C22" s="1243" t="s">
        <v>44</v>
      </c>
      <c r="D22" s="2">
        <v>0</v>
      </c>
      <c r="E22" s="1249"/>
      <c r="F22" s="2"/>
      <c r="G22" s="1527" t="str">
        <f t="shared" si="1"/>
        <v>0.00%</v>
      </c>
      <c r="H22" s="2">
        <f t="shared" si="2"/>
        <v>0</v>
      </c>
      <c r="I22" s="1257" t="str">
        <f t="shared" si="3"/>
        <v>0.0% = Est. S &amp; C</v>
      </c>
      <c r="J22" s="66"/>
      <c r="K22" s="1527" t="str">
        <f t="shared" si="4"/>
        <v>0.00%</v>
      </c>
      <c r="L22" s="2">
        <f>ROUND(H22*(1+M19),0)</f>
        <v>0</v>
      </c>
      <c r="M22" s="1257" t="str">
        <f>TEXT(M19,"0.0%")&amp;" = Est. S &amp; C"</f>
        <v>0.0% = Est. S &amp; C</v>
      </c>
      <c r="O22" s="1527" t="str">
        <f t="shared" si="5"/>
        <v>0.00%</v>
      </c>
      <c r="P22" s="2">
        <f>ROUND(L22*(1+Q19),0)</f>
        <v>0</v>
      </c>
      <c r="Q22" s="1257" t="str">
        <f>TEXT(Q19,"0.0%")&amp;" = Est. S &amp; C"</f>
        <v>0.0%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66"/>
      <c r="B23" s="1326" t="s">
        <v>43</v>
      </c>
      <c r="C23" s="1243" t="s">
        <v>42</v>
      </c>
      <c r="D23" s="2">
        <v>0</v>
      </c>
      <c r="E23" s="1249"/>
      <c r="F23" s="2"/>
      <c r="G23" s="1527" t="str">
        <f t="shared" si="1"/>
        <v>0.00%</v>
      </c>
      <c r="H23" s="2">
        <f t="shared" si="2"/>
        <v>0</v>
      </c>
      <c r="I23" s="1257" t="str">
        <f t="shared" si="3"/>
        <v>0.0% = Est. S &amp; C</v>
      </c>
      <c r="J23" s="66"/>
      <c r="K23" s="1527" t="str">
        <f t="shared" si="4"/>
        <v>0.00%</v>
      </c>
      <c r="L23" s="2">
        <f>ROUND(H23*(1+M19),0)</f>
        <v>0</v>
      </c>
      <c r="M23" s="1257" t="str">
        <f>TEXT(M19,"0.0%")&amp;" = Est. S &amp; C"</f>
        <v>0.0% = Est. S &amp; C</v>
      </c>
      <c r="O23" s="1527" t="str">
        <f t="shared" si="5"/>
        <v>0.00%</v>
      </c>
      <c r="P23" s="2">
        <f>ROUND(L23*(1+Q19),0)</f>
        <v>0</v>
      </c>
      <c r="Q23" s="1257" t="str">
        <f>TEXT(Q19,"0.0%")&amp;" = Est. S &amp; C"</f>
        <v>0.0%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66"/>
      <c r="B24" s="1326" t="s">
        <v>41</v>
      </c>
      <c r="C24" s="1243" t="s">
        <v>40</v>
      </c>
      <c r="D24" s="2">
        <v>0</v>
      </c>
      <c r="E24" s="1249"/>
      <c r="F24" s="2"/>
      <c r="G24" s="1527" t="str">
        <f t="shared" si="1"/>
        <v>0.00%</v>
      </c>
      <c r="H24" s="2">
        <f t="shared" si="2"/>
        <v>0</v>
      </c>
      <c r="I24" s="1257" t="str">
        <f t="shared" si="3"/>
        <v>0.0% = Est. S &amp; C</v>
      </c>
      <c r="J24" s="66"/>
      <c r="K24" s="1527" t="str">
        <f t="shared" si="4"/>
        <v>0.00%</v>
      </c>
      <c r="L24" s="2">
        <f>ROUND(H24*(1+M19),0)</f>
        <v>0</v>
      </c>
      <c r="M24" s="1257" t="str">
        <f>TEXT(M19,"0.0%")&amp;" = Est. S &amp; C"</f>
        <v>0.0% = Est. S &amp; C</v>
      </c>
      <c r="O24" s="1527" t="str">
        <f t="shared" si="5"/>
        <v>0.00%</v>
      </c>
      <c r="P24" s="2">
        <f>ROUND(L24*(1+Q19),0)</f>
        <v>0</v>
      </c>
      <c r="Q24" s="1257" t="str">
        <f>TEXT(Q19,"0.0%")&amp;" = Est. S &amp; C"</f>
        <v>0.0%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66"/>
      <c r="B25" s="1326" t="s">
        <v>67</v>
      </c>
      <c r="C25" s="1243" t="s">
        <v>68</v>
      </c>
      <c r="D25" s="2">
        <v>0</v>
      </c>
      <c r="E25" s="1249"/>
      <c r="F25" s="2"/>
      <c r="G25" s="1527" t="str">
        <f t="shared" si="1"/>
        <v>0.00%</v>
      </c>
      <c r="H25" s="2">
        <f t="shared" si="2"/>
        <v>0</v>
      </c>
      <c r="I25" s="1257" t="str">
        <f t="shared" si="3"/>
        <v>0.0% = Est. S &amp; C</v>
      </c>
      <c r="J25" s="66"/>
      <c r="K25" s="1527" t="str">
        <f t="shared" si="4"/>
        <v>0.00%</v>
      </c>
      <c r="L25" s="2">
        <f>ROUND(H25*(1+M19),0)</f>
        <v>0</v>
      </c>
      <c r="M25" s="1257" t="str">
        <f>TEXT(M19,"0.0%")&amp;" = Est. S &amp; C"</f>
        <v>0.0% = Est. S &amp; C</v>
      </c>
      <c r="O25" s="1527" t="str">
        <f t="shared" si="5"/>
        <v>0.00%</v>
      </c>
      <c r="P25" s="2">
        <f>ROUND(L25*(1+Q19),0)</f>
        <v>0</v>
      </c>
      <c r="Q25" s="1257" t="str">
        <f>TEXT(Q19,"0.0%")&amp;" = Est. S &amp; C"</f>
        <v>0.0%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66"/>
      <c r="B26" s="1326" t="s">
        <v>39</v>
      </c>
      <c r="C26" s="1243" t="s">
        <v>38</v>
      </c>
      <c r="D26" s="2">
        <v>0</v>
      </c>
      <c r="E26" s="1249"/>
      <c r="F26" s="2"/>
      <c r="G26" s="1527" t="str">
        <f t="shared" si="1"/>
        <v>0.00%</v>
      </c>
      <c r="H26" s="2">
        <f t="shared" si="2"/>
        <v>0</v>
      </c>
      <c r="I26" s="1257" t="str">
        <f t="shared" si="3"/>
        <v>0.0% = Est. S &amp; C</v>
      </c>
      <c r="J26" s="66"/>
      <c r="K26" s="1527" t="str">
        <f t="shared" si="4"/>
        <v>0.00%</v>
      </c>
      <c r="L26" s="2">
        <f>ROUND(H26*(1+M19),0)</f>
        <v>0</v>
      </c>
      <c r="M26" s="1257" t="str">
        <f>TEXT(M19,"0.0%")&amp;" = Est. S &amp; C"</f>
        <v>0.0% = Est. S &amp; C</v>
      </c>
      <c r="O26" s="1527" t="str">
        <f t="shared" si="5"/>
        <v>0.00%</v>
      </c>
      <c r="P26" s="2">
        <f>ROUND(L26*(1+Q19),0)</f>
        <v>0</v>
      </c>
      <c r="Q26" s="1257" t="str">
        <f>TEXT(Q19,"0.0%")&amp;" = Est. S &amp; C"</f>
        <v>0.0%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66"/>
      <c r="B27" s="1326" t="s">
        <v>37</v>
      </c>
      <c r="C27" s="1243" t="s">
        <v>36</v>
      </c>
      <c r="D27" s="2">
        <v>0</v>
      </c>
      <c r="E27" s="1249"/>
      <c r="F27" s="2"/>
      <c r="G27" s="1527" t="str">
        <f t="shared" si="1"/>
        <v>0.00%</v>
      </c>
      <c r="H27" s="2">
        <f t="shared" si="2"/>
        <v>0</v>
      </c>
      <c r="I27" s="1257" t="str">
        <f t="shared" si="3"/>
        <v>0.0% = Est. S &amp; C</v>
      </c>
      <c r="J27" s="66"/>
      <c r="K27" s="1527" t="str">
        <f t="shared" si="4"/>
        <v>0.00%</v>
      </c>
      <c r="L27" s="2">
        <f>ROUND(H27*(1+M19),0)</f>
        <v>0</v>
      </c>
      <c r="M27" s="1257" t="str">
        <f>TEXT(M19,"0.0%")&amp;" = Est. S &amp; C"</f>
        <v>0.0% = Est. S &amp; C</v>
      </c>
      <c r="O27" s="1527" t="str">
        <f t="shared" si="5"/>
        <v>0.00%</v>
      </c>
      <c r="P27" s="2">
        <f>ROUND(L27*(1+Q19),0)</f>
        <v>0</v>
      </c>
      <c r="Q27" s="1257" t="str">
        <f>TEXT(Q19,"0.0%")&amp;" = Est. S &amp; C"</f>
        <v>0.0%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66"/>
      <c r="B28" s="1326" t="s">
        <v>208</v>
      </c>
      <c r="D28" s="2">
        <v>0</v>
      </c>
      <c r="E28" s="1249"/>
      <c r="F28" s="2"/>
      <c r="G28" s="1527" t="str">
        <f>IF(D28=0,"0.00%",(H28-D28)/D28)</f>
        <v>0.00%</v>
      </c>
      <c r="H28" s="2">
        <f>ROUND(D28*(1+$I$19),0)</f>
        <v>0</v>
      </c>
      <c r="I28" s="1257" t="str">
        <f t="shared" si="3"/>
        <v>0.0%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66"/>
      <c r="B29" s="1326"/>
      <c r="E29" s="1249"/>
      <c r="F29" s="2"/>
      <c r="G29" s="1527"/>
      <c r="H29" s="2"/>
      <c r="I29" s="1257"/>
      <c r="J29" s="66"/>
      <c r="L29" s="2"/>
      <c r="M29" s="1335"/>
      <c r="Q29" s="1335"/>
      <c r="T29" s="2"/>
      <c r="U29" s="73"/>
      <c r="X29" s="2"/>
      <c r="Y29" s="73"/>
      <c r="AB29" s="2"/>
      <c r="AC29" s="73"/>
    </row>
    <row r="30" spans="1:29" hidden="1" x14ac:dyDescent="0.25">
      <c r="A30" s="29"/>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66"/>
      <c r="E31" s="1249"/>
      <c r="F31" s="2"/>
      <c r="H31" s="2"/>
      <c r="I31" s="1240"/>
      <c r="J31" s="66"/>
      <c r="L31" s="2"/>
      <c r="M31" s="1336"/>
      <c r="Q31" s="1336"/>
      <c r="T31" s="2"/>
      <c r="U31" s="73"/>
      <c r="X31" s="2"/>
      <c r="Y31" s="73"/>
      <c r="AB31" s="2"/>
      <c r="AC31" s="73"/>
    </row>
    <row r="32" spans="1:29" s="4" customFormat="1" hidden="1" x14ac:dyDescent="0.25">
      <c r="A32" s="58"/>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66"/>
      <c r="B33" s="1326" t="s">
        <v>69</v>
      </c>
      <c r="C33" s="1243" t="s">
        <v>70</v>
      </c>
      <c r="D33" s="2">
        <v>0</v>
      </c>
      <c r="E33" s="1249"/>
      <c r="F33" s="2"/>
      <c r="G33" s="1527" t="str">
        <f t="shared" ref="G33:G39" si="9">IF(D33=0,"0.00%",(H33-D33)/D33)</f>
        <v>0.00%</v>
      </c>
      <c r="H33" s="2">
        <f t="shared" ref="H33:H39" si="10">ROUND(D33*(1+$I$19),0)</f>
        <v>0</v>
      </c>
      <c r="I33" s="1257" t="str">
        <f t="shared" ref="I33:I39" si="11">TEXT($I$19,"0.0%")&amp;" = Est. S &amp; C"</f>
        <v>0.0% = Est. S &amp; C</v>
      </c>
      <c r="J33" s="66"/>
      <c r="K33" s="1527" t="str">
        <f t="shared" ref="K33:K39" si="12">IF(H33=0,"0.00%",(L33-H33)/H33)</f>
        <v>0.00%</v>
      </c>
      <c r="L33" s="2">
        <f>ROUND(H33*(1+M19),0)</f>
        <v>0</v>
      </c>
      <c r="M33" s="1257" t="str">
        <f>TEXT(M19,"0.0%")&amp;" = Est. S &amp; C"</f>
        <v>0.0% = Est. S &amp; C</v>
      </c>
      <c r="O33" s="1527" t="str">
        <f t="shared" ref="O33:O39" si="13">IF(L33=0,"0.00%",(P33-L33)/L33)</f>
        <v>0.00%</v>
      </c>
      <c r="P33" s="2">
        <f>ROUND(L33*(1+Q19),0)</f>
        <v>0</v>
      </c>
      <c r="Q33" s="1257" t="str">
        <f>TEXT(Q19,"0.0%")&amp;" = Est. S &amp; C"</f>
        <v>0.0%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66"/>
      <c r="B34" s="1326" t="s">
        <v>34</v>
      </c>
      <c r="C34" s="1243" t="s">
        <v>33</v>
      </c>
      <c r="D34" s="2">
        <v>0</v>
      </c>
      <c r="E34" s="1249"/>
      <c r="F34" s="2"/>
      <c r="G34" s="1527" t="str">
        <f t="shared" si="9"/>
        <v>0.00%</v>
      </c>
      <c r="H34" s="2">
        <f t="shared" si="10"/>
        <v>0</v>
      </c>
      <c r="I34" s="1257" t="str">
        <f t="shared" si="11"/>
        <v>0.0% = Est. S &amp; C</v>
      </c>
      <c r="J34" s="66"/>
      <c r="K34" s="1527" t="str">
        <f t="shared" si="12"/>
        <v>0.00%</v>
      </c>
      <c r="L34" s="2">
        <f>ROUND(H34*(1+M19),0)</f>
        <v>0</v>
      </c>
      <c r="M34" s="1257" t="str">
        <f>TEXT(M19,"0.0%")&amp;" = Est. S &amp; C"</f>
        <v>0.0% = Est. S &amp; C</v>
      </c>
      <c r="O34" s="1527" t="str">
        <f t="shared" si="13"/>
        <v>0.00%</v>
      </c>
      <c r="P34" s="2">
        <f>ROUND(L34*(1+Q19),0)</f>
        <v>0</v>
      </c>
      <c r="Q34" s="1257" t="str">
        <f>TEXT(Q19,"0.0%")&amp;" = Est. S &amp; C"</f>
        <v>0.0%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66"/>
      <c r="B35" s="1326" t="s">
        <v>32</v>
      </c>
      <c r="C35" s="1243" t="s">
        <v>31</v>
      </c>
      <c r="D35" s="2">
        <v>0</v>
      </c>
      <c r="E35" s="1249"/>
      <c r="F35" s="2"/>
      <c r="G35" s="1527" t="str">
        <f t="shared" si="9"/>
        <v>0.00%</v>
      </c>
      <c r="H35" s="2">
        <f t="shared" si="10"/>
        <v>0</v>
      </c>
      <c r="I35" s="1257" t="str">
        <f t="shared" si="11"/>
        <v>0.0% = Est. S &amp; C</v>
      </c>
      <c r="J35" s="66"/>
      <c r="K35" s="1527" t="str">
        <f t="shared" si="12"/>
        <v>0.00%</v>
      </c>
      <c r="L35" s="2">
        <f>ROUND(H35*(1+M19),0)</f>
        <v>0</v>
      </c>
      <c r="M35" s="1257" t="str">
        <f>TEXT(M19,"0.0%")&amp;" = Est. S &amp; C"</f>
        <v>0.0% = Est. S &amp; C</v>
      </c>
      <c r="O35" s="1527" t="str">
        <f t="shared" si="13"/>
        <v>0.00%</v>
      </c>
      <c r="P35" s="2">
        <f>ROUND(L35*(1+Q19),0)</f>
        <v>0</v>
      </c>
      <c r="Q35" s="1257" t="str">
        <f>TEXT(Q19,"0.0%")&amp;" = Est. S &amp; C"</f>
        <v>0.0%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66"/>
      <c r="B36" s="1326" t="s">
        <v>30</v>
      </c>
      <c r="C36" s="1243" t="s">
        <v>29</v>
      </c>
      <c r="D36" s="2">
        <v>0</v>
      </c>
      <c r="E36" s="1249"/>
      <c r="F36" s="2"/>
      <c r="G36" s="1527" t="str">
        <f t="shared" si="9"/>
        <v>0.00%</v>
      </c>
      <c r="H36" s="2">
        <f t="shared" si="10"/>
        <v>0</v>
      </c>
      <c r="I36" s="1257" t="str">
        <f t="shared" si="11"/>
        <v>0.0% = Est. S &amp; C</v>
      </c>
      <c r="J36" s="66"/>
      <c r="K36" s="1527" t="str">
        <f t="shared" si="12"/>
        <v>0.00%</v>
      </c>
      <c r="L36" s="2">
        <f>ROUND(H36*(1+M19),0)</f>
        <v>0</v>
      </c>
      <c r="M36" s="1257" t="str">
        <f>TEXT(M19,"0.0%")&amp;" = Est. S &amp; C"</f>
        <v>0.0% = Est. S &amp; C</v>
      </c>
      <c r="O36" s="1527" t="str">
        <f t="shared" si="13"/>
        <v>0.00%</v>
      </c>
      <c r="P36" s="2">
        <f>ROUND(L36*(1+Q19),0)</f>
        <v>0</v>
      </c>
      <c r="Q36" s="1257" t="str">
        <f>TEXT(Q19,"0.0%")&amp;" = Est. S &amp; C"</f>
        <v>0.0%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66"/>
      <c r="B37" s="1326" t="s">
        <v>72</v>
      </c>
      <c r="C37" s="1243" t="s">
        <v>71</v>
      </c>
      <c r="D37" s="2">
        <v>0</v>
      </c>
      <c r="E37" s="1249"/>
      <c r="F37" s="2"/>
      <c r="G37" s="1527" t="str">
        <f t="shared" si="9"/>
        <v>0.00%</v>
      </c>
      <c r="H37" s="2">
        <f t="shared" si="10"/>
        <v>0</v>
      </c>
      <c r="I37" s="1257" t="str">
        <f t="shared" si="11"/>
        <v>0.0% = Est. S &amp; C</v>
      </c>
      <c r="J37" s="66"/>
      <c r="K37" s="1527" t="str">
        <f t="shared" si="12"/>
        <v>0.00%</v>
      </c>
      <c r="L37" s="2">
        <f>ROUND(H37*(1+M19),0)</f>
        <v>0</v>
      </c>
      <c r="M37" s="1257" t="str">
        <f>TEXT(M19,"0.0%")&amp;" = Est. S &amp; C"</f>
        <v>0.0% = Est. S &amp; C</v>
      </c>
      <c r="O37" s="1527" t="str">
        <f t="shared" si="13"/>
        <v>0.00%</v>
      </c>
      <c r="P37" s="2">
        <f>ROUND(L37*(1+Q19),0)</f>
        <v>0</v>
      </c>
      <c r="Q37" s="1257" t="str">
        <f>TEXT(Q19,"0.0%")&amp;" = Est. S &amp; C"</f>
        <v>0.0%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66"/>
      <c r="B38" s="1326" t="s">
        <v>114</v>
      </c>
      <c r="C38" s="1243" t="s">
        <v>117</v>
      </c>
      <c r="D38" s="2">
        <v>0</v>
      </c>
      <c r="E38" s="1249"/>
      <c r="F38" s="2"/>
      <c r="G38" s="1527" t="str">
        <f t="shared" si="9"/>
        <v>0.00%</v>
      </c>
      <c r="H38" s="2">
        <f t="shared" si="10"/>
        <v>0</v>
      </c>
      <c r="I38" s="1257" t="str">
        <f t="shared" si="11"/>
        <v>0.0% = Est. S &amp; C</v>
      </c>
      <c r="J38" s="66"/>
      <c r="K38" s="1527" t="str">
        <f t="shared" si="12"/>
        <v>0.00%</v>
      </c>
      <c r="L38" s="2">
        <f>ROUND(H38*(1+M19),0)</f>
        <v>0</v>
      </c>
      <c r="M38" s="1257" t="str">
        <f>TEXT(M19,"0.0%")&amp;" = Est. S &amp; C"</f>
        <v>0.0% = Est. S &amp; C</v>
      </c>
      <c r="O38" s="1527" t="str">
        <f t="shared" si="13"/>
        <v>0.00%</v>
      </c>
      <c r="P38" s="2">
        <f>ROUND(L38*(1+Q19),0)</f>
        <v>0</v>
      </c>
      <c r="Q38" s="1257" t="str">
        <f>TEXT(Q19,"0.0%")&amp;" = Est. S &amp; C"</f>
        <v>0.0%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66"/>
      <c r="B39" s="1326" t="s">
        <v>73</v>
      </c>
      <c r="C39" s="1243" t="s">
        <v>74</v>
      </c>
      <c r="D39" s="2">
        <v>0</v>
      </c>
      <c r="E39" s="1249"/>
      <c r="F39" s="2"/>
      <c r="G39" s="1527" t="str">
        <f t="shared" si="9"/>
        <v>0.00%</v>
      </c>
      <c r="H39" s="2">
        <f t="shared" si="10"/>
        <v>0</v>
      </c>
      <c r="I39" s="1257" t="str">
        <f t="shared" si="11"/>
        <v>0.0% = Est. S &amp; C</v>
      </c>
      <c r="J39" s="66"/>
      <c r="K39" s="1527" t="str">
        <f t="shared" si="12"/>
        <v>0.00%</v>
      </c>
      <c r="L39" s="2">
        <f>ROUND(H39*(1+M19),0)</f>
        <v>0</v>
      </c>
      <c r="M39" s="1257" t="str">
        <f>TEXT(M19,"0.0%")&amp;" = Est. S &amp; C"</f>
        <v>0.0% = Est. S &amp; C</v>
      </c>
      <c r="O39" s="1527" t="str">
        <f t="shared" si="13"/>
        <v>0.00%</v>
      </c>
      <c r="P39" s="2">
        <f>ROUND(L39*(1+Q19),0)</f>
        <v>0</v>
      </c>
      <c r="Q39" s="1257" t="str">
        <f>TEXT(Q19,"0.0%")&amp;" = Est. S &amp; C"</f>
        <v>0.0%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66"/>
      <c r="B40" s="1326"/>
      <c r="E40" s="1249"/>
      <c r="F40" s="2"/>
      <c r="H40" s="2"/>
      <c r="I40" s="1257"/>
      <c r="J40" s="66"/>
      <c r="L40" s="2"/>
      <c r="M40" s="1335"/>
      <c r="Q40" s="1335"/>
      <c r="T40" s="2"/>
      <c r="U40" s="73"/>
      <c r="X40" s="2"/>
      <c r="Y40" s="73"/>
      <c r="AB40" s="2"/>
      <c r="AC40" s="73"/>
    </row>
    <row r="41" spans="1:29" hidden="1" x14ac:dyDescent="0.25">
      <c r="A41" s="29"/>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66"/>
      <c r="B42" s="1317" t="s">
        <v>28</v>
      </c>
      <c r="E42" s="1249"/>
      <c r="F42" s="2"/>
      <c r="H42" s="2"/>
      <c r="I42" s="1257"/>
      <c r="J42" s="66"/>
      <c r="L42" s="2"/>
      <c r="M42" s="1335"/>
      <c r="Q42" s="1335"/>
      <c r="T42" s="2"/>
      <c r="U42" s="73"/>
      <c r="X42" s="2"/>
      <c r="Y42" s="73"/>
      <c r="AB42" s="2"/>
      <c r="AC42" s="73"/>
    </row>
    <row r="43" spans="1:29" hidden="1" x14ac:dyDescent="0.25">
      <c r="A43" s="57"/>
      <c r="B43" s="1323" t="s">
        <v>27</v>
      </c>
      <c r="E43" s="1249"/>
      <c r="F43" s="2"/>
      <c r="H43" s="2"/>
      <c r="I43" s="1257"/>
      <c r="J43" s="66"/>
      <c r="L43" s="2"/>
      <c r="M43" s="1335"/>
      <c r="Q43" s="1335"/>
      <c r="T43" s="2"/>
      <c r="U43" s="73"/>
      <c r="X43" s="2"/>
      <c r="Y43" s="73"/>
      <c r="AB43" s="2"/>
      <c r="AC43" s="73"/>
    </row>
    <row r="44" spans="1:29" hidden="1" x14ac:dyDescent="0.25">
      <c r="A44" s="66"/>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hidden="1" x14ac:dyDescent="0.25">
      <c r="A45" s="66"/>
      <c r="B45" s="1326" t="s">
        <v>84</v>
      </c>
      <c r="C45" s="1243" t="s">
        <v>77</v>
      </c>
      <c r="D45" s="2">
        <v>0</v>
      </c>
      <c r="E45" s="1240" t="str">
        <f>TEXT('MYP Assumptions'!$D$53,"0.00%")&amp;", PERS rate"</f>
        <v>13.89%, PERS rate</v>
      </c>
      <c r="F45" s="2"/>
      <c r="G45" s="1527" t="str">
        <f t="shared" si="17"/>
        <v>0.00%</v>
      </c>
      <c r="H45" s="2">
        <f>ROUND(H41*LEFT(I45,6),0)</f>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hidden="1" x14ac:dyDescent="0.25">
      <c r="A46" s="66"/>
      <c r="B46" s="1326" t="s">
        <v>85</v>
      </c>
      <c r="C46" s="1243" t="s">
        <v>78</v>
      </c>
      <c r="D46" s="2">
        <v>0</v>
      </c>
      <c r="E46" s="1240" t="str">
        <f>TEXT('MYP Assumptions'!$D$54,"0.00%")&amp;", SS rate"</f>
        <v>6.20%, SS rate</v>
      </c>
      <c r="F46" s="2"/>
      <c r="G46" s="1527" t="str">
        <f t="shared" si="17"/>
        <v>0.00%</v>
      </c>
      <c r="H46" s="2">
        <f>ROUND(H41*LEFT(I46,5),0)</f>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hidden="1" x14ac:dyDescent="0.25">
      <c r="A47" s="66"/>
      <c r="B47" s="1326" t="s">
        <v>86</v>
      </c>
      <c r="C47" s="1243" t="s">
        <v>79</v>
      </c>
      <c r="D47" s="2">
        <v>0</v>
      </c>
      <c r="E47" s="1240" t="str">
        <f>TEXT('MYP Assumptions'!$D$55,"0.00%")&amp;", Medicare rate"</f>
        <v>1.45%, Medicare rate</v>
      </c>
      <c r="F47" s="2"/>
      <c r="G47" s="1527" t="str">
        <f t="shared" si="17"/>
        <v>0.00%</v>
      </c>
      <c r="H47" s="2">
        <f>ROUND((H41+H30)*LEFT(I47,5),0)</f>
        <v>0</v>
      </c>
      <c r="I47" s="1240" t="str">
        <f>TEXT('MYP Assumptions'!E55,"0.00%")&amp;", no rate change"</f>
        <v>1.45%, no rate change</v>
      </c>
      <c r="J47" s="66"/>
      <c r="K47" s="1527" t="str">
        <f t="shared" si="18"/>
        <v>0.00%</v>
      </c>
      <c r="L47" s="2">
        <f>ROUND((L41+L30)*LEFT(M47,5),0)</f>
        <v>0</v>
      </c>
      <c r="M47" s="1240"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hidden="1" x14ac:dyDescent="0.25">
      <c r="A48" s="66"/>
      <c r="B48" s="1326" t="s">
        <v>87</v>
      </c>
      <c r="C48" s="1243" t="s">
        <v>80</v>
      </c>
      <c r="D48" s="2">
        <v>0</v>
      </c>
      <c r="E48" s="1240"/>
      <c r="F48" s="2"/>
      <c r="G48" s="1527" t="str">
        <f t="shared" si="17"/>
        <v>0.00%</v>
      </c>
      <c r="H48" s="2">
        <f>ROUND((D48)*(LEFT(I48,5)+1),0)</f>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hidden="1" x14ac:dyDescent="0.25">
      <c r="A49" s="66"/>
      <c r="B49" s="1326" t="s">
        <v>88</v>
      </c>
      <c r="C49" s="1243" t="s">
        <v>81</v>
      </c>
      <c r="D49" s="2">
        <v>0</v>
      </c>
      <c r="E49" s="1240" t="str">
        <f>TEXT('MYP Assumptions'!$D$56,"0.00%")&amp;", SUI rate"</f>
        <v>0.05%, SUI rate</v>
      </c>
      <c r="F49" s="2"/>
      <c r="G49" s="1527" t="str">
        <f t="shared" si="17"/>
        <v>0.00%</v>
      </c>
      <c r="H49" s="2">
        <f>ROUND((H41+H30)*LEFT(I49,5),0)</f>
        <v>0</v>
      </c>
      <c r="I49" s="1240" t="str">
        <f>TEXT('MYP Assumptions'!E56,"0.00%")&amp;", no rate change"</f>
        <v>0.05%, no rate change</v>
      </c>
      <c r="J49" s="66"/>
      <c r="K49" s="1527" t="str">
        <f t="shared" si="18"/>
        <v>0.00%</v>
      </c>
      <c r="L49" s="2">
        <f>ROUND((L41+L30)*LEFT(M49,5),0)</f>
        <v>0</v>
      </c>
      <c r="M49" s="1240"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hidden="1" x14ac:dyDescent="0.25">
      <c r="A50" s="66"/>
      <c r="B50" s="1326" t="s">
        <v>89</v>
      </c>
      <c r="C50" s="1243" t="s">
        <v>82</v>
      </c>
      <c r="D50" s="2">
        <v>0</v>
      </c>
      <c r="E50" s="1240" t="str">
        <f>TEXT('MYP Assumptions'!$D$57,"0.00%")&amp;", W/C rate"</f>
        <v>1.10%, W/C rate</v>
      </c>
      <c r="F50" s="2"/>
      <c r="G50" s="1527" t="str">
        <f t="shared" si="17"/>
        <v>0.00%</v>
      </c>
      <c r="H50" s="2">
        <f>ROUND((H41+H30)*LEFT(I50,5),0)</f>
        <v>0</v>
      </c>
      <c r="I50" s="1240" t="str">
        <f>TEXT('MYP Assumptions'!E57,"0.00%")&amp;", no rate change"</f>
        <v>1.10%, no rate change</v>
      </c>
      <c r="J50" s="66"/>
      <c r="K50" s="1527" t="str">
        <f t="shared" si="18"/>
        <v>0.00%</v>
      </c>
      <c r="L50" s="2">
        <f>ROUND((L41+L30)*LEFT(M50,5),0)</f>
        <v>0</v>
      </c>
      <c r="M50" s="1240"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hidden="1" x14ac:dyDescent="0.25">
      <c r="A51" s="66"/>
      <c r="B51" s="1326" t="s">
        <v>90</v>
      </c>
      <c r="C51" s="1243" t="s">
        <v>92</v>
      </c>
      <c r="D51" s="2">
        <v>0</v>
      </c>
      <c r="E51" s="1249"/>
      <c r="F51" s="2"/>
      <c r="G51" s="1527" t="str">
        <f t="shared" si="17"/>
        <v>0.00%</v>
      </c>
      <c r="H51" s="2">
        <f>D51</f>
        <v>0</v>
      </c>
      <c r="I51" s="1240" t="s">
        <v>166</v>
      </c>
      <c r="J51" s="66"/>
      <c r="K51" s="1527" t="str">
        <f t="shared" si="18"/>
        <v>0.00%</v>
      </c>
      <c r="L51" s="2">
        <f>H51</f>
        <v>0</v>
      </c>
      <c r="M51" s="1240" t="s">
        <v>166</v>
      </c>
      <c r="O51" s="1527" t="str">
        <f t="shared" si="19"/>
        <v>0.00%</v>
      </c>
      <c r="P51" s="2">
        <f>L51</f>
        <v>0</v>
      </c>
      <c r="Q51" s="1240"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66"/>
      <c r="B52" s="1326" t="s">
        <v>91</v>
      </c>
      <c r="C52" s="1243" t="s">
        <v>93</v>
      </c>
      <c r="D52" s="2">
        <v>0</v>
      </c>
      <c r="E52" s="1249"/>
      <c r="F52" s="2"/>
      <c r="G52" s="1527" t="str">
        <f t="shared" si="17"/>
        <v>0.00%</v>
      </c>
      <c r="H52" s="2">
        <f>D52</f>
        <v>0</v>
      </c>
      <c r="I52" s="1240" t="s">
        <v>166</v>
      </c>
      <c r="J52" s="66"/>
      <c r="K52" s="1527" t="str">
        <f t="shared" si="18"/>
        <v>0.00%</v>
      </c>
      <c r="L52" s="2">
        <f>H52</f>
        <v>0</v>
      </c>
      <c r="M52" s="1240" t="s">
        <v>166</v>
      </c>
      <c r="O52" s="1527" t="str">
        <f t="shared" si="19"/>
        <v>0.00%</v>
      </c>
      <c r="P52" s="2">
        <f>L52</f>
        <v>0</v>
      </c>
      <c r="Q52" s="1240"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29"/>
      <c r="B53" s="1326"/>
      <c r="D53" s="8">
        <f>SUM(D44:D52)</f>
        <v>0</v>
      </c>
      <c r="E53" s="1249"/>
      <c r="F53" s="2"/>
      <c r="G53" s="1527" t="str">
        <f t="shared" si="17"/>
        <v>0.00%</v>
      </c>
      <c r="H53" s="8">
        <f>SUM(H44:H52)</f>
        <v>0</v>
      </c>
      <c r="I53" s="1258"/>
      <c r="J53" s="29"/>
      <c r="K53" s="1527" t="str">
        <f t="shared" si="18"/>
        <v>0.00%</v>
      </c>
      <c r="L53" s="8">
        <f>SUM(L44:L52)</f>
        <v>0</v>
      </c>
      <c r="M53" s="1335"/>
      <c r="O53" s="1527" t="str">
        <f t="shared" si="19"/>
        <v>0.00%</v>
      </c>
      <c r="P53" s="8">
        <f>SUM(P44:P52)</f>
        <v>0</v>
      </c>
      <c r="Q53" s="1335"/>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57"/>
      <c r="B54" s="1326"/>
      <c r="E54" s="1249"/>
      <c r="F54" s="2"/>
      <c r="H54" s="2"/>
      <c r="I54" s="1257"/>
      <c r="J54" s="66"/>
      <c r="L54" s="2"/>
      <c r="M54" s="1335"/>
      <c r="Q54" s="1335"/>
      <c r="T54" s="2"/>
      <c r="U54" s="73"/>
      <c r="X54" s="2"/>
      <c r="Y54" s="73"/>
      <c r="AB54" s="2"/>
      <c r="AC54" s="73"/>
    </row>
    <row r="55" spans="1:29" hidden="1" x14ac:dyDescent="0.25">
      <c r="A55" s="29"/>
      <c r="B55" s="1323" t="s">
        <v>26</v>
      </c>
      <c r="D55" s="8">
        <f>SUM(D53,D41,D30)</f>
        <v>0</v>
      </c>
      <c r="E55" s="1249"/>
      <c r="F55" s="2"/>
      <c r="G55" s="1527" t="str">
        <f>IF(D55=0,"0.00%",(H55-D55)/D55)</f>
        <v>0.00%</v>
      </c>
      <c r="H55" s="8">
        <f>SUM(H53,H41,H30)</f>
        <v>0</v>
      </c>
      <c r="I55" s="1258"/>
      <c r="J55" s="29"/>
      <c r="K55" s="1527" t="str">
        <f>IF(H55=0,"0.00%",(L55-H55)/H55)</f>
        <v>0.00%</v>
      </c>
      <c r="L55" s="8">
        <f>SUM(L53,L41,L30)</f>
        <v>0</v>
      </c>
      <c r="M55" s="1335"/>
      <c r="O55" s="1527" t="str">
        <f>IF(L55=0,"0.00%",(P55-L55)/L55)</f>
        <v>0.00%</v>
      </c>
      <c r="P55" s="8">
        <f>SUM(P53,P41,P30)</f>
        <v>0</v>
      </c>
      <c r="Q55" s="1335"/>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59"/>
      <c r="E56" s="1249"/>
      <c r="F56" s="2"/>
      <c r="H56" s="2"/>
      <c r="I56" s="1257"/>
      <c r="J56" s="66"/>
      <c r="L56" s="2"/>
      <c r="M56" s="1335"/>
      <c r="Q56" s="1335"/>
      <c r="T56" s="2"/>
      <c r="U56" s="73"/>
      <c r="X56" s="2"/>
      <c r="Y56" s="73"/>
      <c r="AB56" s="2"/>
      <c r="AC56" s="73"/>
    </row>
    <row r="57" spans="1:29" x14ac:dyDescent="0.25">
      <c r="A57" s="66"/>
      <c r="E57" s="1249"/>
      <c r="F57" s="2"/>
      <c r="H57" s="2"/>
      <c r="I57" s="1257"/>
      <c r="J57" s="66"/>
      <c r="L57" s="2"/>
      <c r="M57" s="1335"/>
      <c r="Q57" s="1335"/>
      <c r="T57" s="2"/>
      <c r="U57" s="73"/>
      <c r="X57" s="2"/>
      <c r="Y57" s="73"/>
      <c r="AB57" s="2"/>
      <c r="AC57" s="73"/>
    </row>
    <row r="58" spans="1:29" x14ac:dyDescent="0.25">
      <c r="A58" s="59"/>
      <c r="B58" s="1327" t="s">
        <v>25</v>
      </c>
      <c r="C58" s="1259"/>
      <c r="E58" s="1249"/>
      <c r="F58" s="2"/>
      <c r="H58" s="2"/>
      <c r="I58" s="1257"/>
      <c r="J58" s="66"/>
      <c r="L58" s="2"/>
      <c r="M58" s="1335"/>
      <c r="Q58" s="1335"/>
      <c r="T58" s="2"/>
      <c r="U58" s="73"/>
      <c r="X58" s="2"/>
      <c r="Y58" s="73"/>
      <c r="AB58" s="2"/>
      <c r="AC58" s="73"/>
    </row>
    <row r="59" spans="1:29" hidden="1" x14ac:dyDescent="0.25">
      <c r="A59" s="66"/>
      <c r="B59" s="1326" t="s">
        <v>24</v>
      </c>
      <c r="C59" s="1243" t="s">
        <v>23</v>
      </c>
      <c r="D59" s="2">
        <v>0</v>
      </c>
      <c r="E59" s="1249"/>
      <c r="F59" s="2"/>
      <c r="G59" s="1527" t="str">
        <f t="shared" ref="G59:G66" si="23">IF(D59=0,"0.00%",(H59-D59)/D59)</f>
        <v>0.00%</v>
      </c>
      <c r="H59" s="2">
        <f t="shared" ref="H59:H65" si="24">ROUND(D59*(LEFT(I59,5)+1),0)</f>
        <v>0</v>
      </c>
      <c r="I59" s="1240" t="str">
        <f>TEXT('MYP Assumptions'!E72,"0.00%")&amp;", CPI"</f>
        <v>3.11%, CPI</v>
      </c>
      <c r="J59" s="66"/>
      <c r="K59" s="1527" t="str">
        <f t="shared" ref="K59:K66" si="25">IF(H59=0,"0.00%",(L59-H59)/H59)</f>
        <v>0.00%</v>
      </c>
      <c r="L59" s="2">
        <f>ROUND(H59*(LEFT(M59,5)+1),0)</f>
        <v>0</v>
      </c>
      <c r="M59" s="1240" t="str">
        <f>TEXT('MYP Assumptions'!F72,"0.00%")&amp;", CPI"</f>
        <v>3.19%, CPI</v>
      </c>
      <c r="O59" s="1527" t="str">
        <f t="shared" ref="O59:O66" si="26">IF(L59=0,"0.00%",(P59-L59)/L59)</f>
        <v>0.00%</v>
      </c>
      <c r="P59" s="2">
        <f>ROUND(L59*(LEFT(Q59,5)+1),0)</f>
        <v>0</v>
      </c>
      <c r="Q59" s="1240" t="str">
        <f>TEXT('MYP Assumptions'!G72,"0.00%")&amp;", CPI"</f>
        <v>2.86%, CPI</v>
      </c>
      <c r="S59" s="83" t="str">
        <f t="shared" ref="S59:S66" si="27">IF(P59=0,"0.00%",(T59-P59)/P59)</f>
        <v>0.00%</v>
      </c>
      <c r="T59" s="2">
        <f>ROUND(P59*(LEFT(U59,5)+1),0)</f>
        <v>0</v>
      </c>
      <c r="U59" s="81" t="str">
        <f>TEXT('MYP Assumptions'!H72,"0.00%")&amp;", CPI"</f>
        <v>2.73%, CPI</v>
      </c>
      <c r="W59" s="83" t="str">
        <f t="shared" ref="W59:W66" si="28">IF(T59=0,"0.00%",(X59-T59)/T59)</f>
        <v>0.00%</v>
      </c>
      <c r="X59" s="2">
        <f>ROUND(T59*(LEFT(Y59,5)+1),0)</f>
        <v>0</v>
      </c>
      <c r="Y59" s="81" t="str">
        <f>TEXT('MYP Assumptions'!I72,"0.00%")&amp;", CPI"</f>
        <v>2.73%, CPI</v>
      </c>
      <c r="AA59" s="83" t="str">
        <f t="shared" ref="AA59:AA66" si="29">IF(X59=0,"0.00%",(AB59-X59)/X59)</f>
        <v>0.00%</v>
      </c>
      <c r="AB59" s="2">
        <f>ROUND(X59*(LEFT(AC59,5)+1),0)</f>
        <v>0</v>
      </c>
      <c r="AC59" s="81" t="str">
        <f>TEXT('MYP Assumptions'!J72,"0.00%")&amp;", CPI"</f>
        <v>2.73%, CPI</v>
      </c>
    </row>
    <row r="60" spans="1:29" hidden="1" x14ac:dyDescent="0.25">
      <c r="A60" s="66"/>
      <c r="B60" s="1326" t="s">
        <v>94</v>
      </c>
      <c r="C60" s="1243" t="s">
        <v>96</v>
      </c>
      <c r="D60" s="2">
        <v>0</v>
      </c>
      <c r="E60" s="1249"/>
      <c r="F60" s="2"/>
      <c r="G60" s="1527" t="str">
        <f t="shared" si="23"/>
        <v>0.00%</v>
      </c>
      <c r="H60" s="2">
        <f t="shared" si="24"/>
        <v>0</v>
      </c>
      <c r="I60" s="1240" t="str">
        <f>TEXT('MYP Assumptions'!E72,"0.00%")&amp;", CPI"</f>
        <v>3.11%, CPI</v>
      </c>
      <c r="J60" s="66"/>
      <c r="K60" s="1527" t="str">
        <f t="shared" si="25"/>
        <v>0.00%</v>
      </c>
      <c r="L60" s="2">
        <f t="shared" ref="L60:L65" si="30">ROUND(H60*(LEFT(M60,5)+1),0)</f>
        <v>0</v>
      </c>
      <c r="M60" s="1240" t="str">
        <f>TEXT('MYP Assumptions'!F72,"0.00%")&amp;", CPI"</f>
        <v>3.19%, CPI</v>
      </c>
      <c r="O60" s="1527" t="str">
        <f t="shared" si="26"/>
        <v>0.00%</v>
      </c>
      <c r="P60" s="2">
        <f t="shared" ref="P60:P65" si="31">ROUND(L60*(LEFT(Q60,5)+1),0)</f>
        <v>0</v>
      </c>
      <c r="Q60" s="1240" t="str">
        <f>TEXT('MYP Assumptions'!G72,"0.00%")&amp;", CPI"</f>
        <v>2.86%, CPI</v>
      </c>
      <c r="S60" s="83" t="str">
        <f t="shared" si="27"/>
        <v>0.00%</v>
      </c>
      <c r="T60" s="2">
        <f t="shared" ref="T60:T65" si="32">ROUND(P60*(LEFT(U60,5)+1),0)</f>
        <v>0</v>
      </c>
      <c r="U60" s="81" t="str">
        <f>TEXT('MYP Assumptions'!H72,"0.00%")&amp;", CPI"</f>
        <v>2.73%, CPI</v>
      </c>
      <c r="W60" s="83" t="str">
        <f t="shared" si="28"/>
        <v>0.00%</v>
      </c>
      <c r="X60" s="2">
        <f t="shared" ref="X60:X65" si="33">ROUND(T60*(LEFT(Y60,5)+1),0)</f>
        <v>0</v>
      </c>
      <c r="Y60" s="81" t="str">
        <f>TEXT('MYP Assumptions'!I72,"0.00%")&amp;", CPI"</f>
        <v>2.73%, CPI</v>
      </c>
      <c r="AA60" s="83" t="str">
        <f t="shared" si="29"/>
        <v>0.00%</v>
      </c>
      <c r="AB60" s="2">
        <f t="shared" ref="AB60:AB65" si="34">ROUND(X60*(LEFT(AC60,5)+1),0)</f>
        <v>0</v>
      </c>
      <c r="AC60" s="81" t="str">
        <f>TEXT('MYP Assumptions'!J72,"0.00%")&amp;", CPI"</f>
        <v>2.73%, CPI</v>
      </c>
    </row>
    <row r="61" spans="1:29" hidden="1" x14ac:dyDescent="0.25">
      <c r="A61" s="66"/>
      <c r="B61" s="1326" t="s">
        <v>95</v>
      </c>
      <c r="C61" s="1243" t="s">
        <v>97</v>
      </c>
      <c r="D61" s="2">
        <v>0</v>
      </c>
      <c r="E61" s="1249"/>
      <c r="F61" s="2"/>
      <c r="G61" s="1527" t="str">
        <f t="shared" si="23"/>
        <v>0.00%</v>
      </c>
      <c r="H61" s="2">
        <f t="shared" si="24"/>
        <v>0</v>
      </c>
      <c r="I61" s="1240" t="str">
        <f>TEXT('MYP Assumptions'!E72,"0.00%")&amp;", CPI"</f>
        <v>3.11%, CPI</v>
      </c>
      <c r="J61" s="66"/>
      <c r="K61" s="1527" t="str">
        <f t="shared" si="25"/>
        <v>0.00%</v>
      </c>
      <c r="L61" s="2">
        <f t="shared" si="30"/>
        <v>0</v>
      </c>
      <c r="M61" s="1240" t="str">
        <f>TEXT('MYP Assumptions'!F72,"0.00%")&amp;", CPI"</f>
        <v>3.19%, CPI</v>
      </c>
      <c r="O61" s="1527" t="str">
        <f t="shared" si="26"/>
        <v>0.00%</v>
      </c>
      <c r="P61" s="2">
        <f t="shared" si="31"/>
        <v>0</v>
      </c>
      <c r="Q61" s="1240" t="str">
        <f>TEXT('MYP Assumptions'!G72,"0.00%")&amp;", CPI"</f>
        <v>2.86%, CPI</v>
      </c>
      <c r="S61" s="83" t="str">
        <f t="shared" si="27"/>
        <v>0.00%</v>
      </c>
      <c r="T61" s="2">
        <f t="shared" si="32"/>
        <v>0</v>
      </c>
      <c r="U61" s="81" t="str">
        <f>TEXT('MYP Assumptions'!H72,"0.00%")&amp;", CPI"</f>
        <v>2.73%, CPI</v>
      </c>
      <c r="W61" s="83" t="str">
        <f t="shared" si="28"/>
        <v>0.00%</v>
      </c>
      <c r="X61" s="2">
        <f t="shared" si="33"/>
        <v>0</v>
      </c>
      <c r="Y61" s="81" t="str">
        <f>TEXT('MYP Assumptions'!I72,"0.00%")&amp;", CPI"</f>
        <v>2.73%, CPI</v>
      </c>
      <c r="AA61" s="83" t="str">
        <f t="shared" si="29"/>
        <v>0.00%</v>
      </c>
      <c r="AB61" s="2">
        <f t="shared" si="34"/>
        <v>0</v>
      </c>
      <c r="AC61" s="81" t="str">
        <f>TEXT('MYP Assumptions'!J72,"0.00%")&amp;", CPI"</f>
        <v>2.73%, CPI</v>
      </c>
    </row>
    <row r="62" spans="1:29" x14ac:dyDescent="0.25">
      <c r="A62" s="66"/>
      <c r="B62" s="1326" t="s">
        <v>22</v>
      </c>
      <c r="C62" s="1243" t="s">
        <v>21</v>
      </c>
      <c r="D62" s="2">
        <v>11566.3</v>
      </c>
      <c r="E62" s="1249"/>
      <c r="F62" s="2"/>
      <c r="G62" s="1527">
        <f t="shared" si="23"/>
        <v>-0.12876200686477088</v>
      </c>
      <c r="H62" s="2">
        <v>10077</v>
      </c>
      <c r="I62" s="1240"/>
      <c r="J62" s="66"/>
      <c r="K62" s="1527">
        <f t="shared" si="25"/>
        <v>-4.9617941847772157E-2</v>
      </c>
      <c r="L62" s="2">
        <v>9577</v>
      </c>
      <c r="M62" s="1240"/>
      <c r="O62" s="1527">
        <f t="shared" si="26"/>
        <v>-5.2208415996658659E-2</v>
      </c>
      <c r="P62" s="2">
        <v>9077</v>
      </c>
      <c r="Q62" s="1240"/>
      <c r="S62" s="83">
        <f t="shared" si="27"/>
        <v>2.7321802357607138E-2</v>
      </c>
      <c r="T62" s="2">
        <f t="shared" si="32"/>
        <v>9325</v>
      </c>
      <c r="U62" s="81" t="str">
        <f>TEXT('MYP Assumptions'!H72,"0.00%")&amp;", CPI"</f>
        <v>2.73%, CPI</v>
      </c>
      <c r="W62" s="83">
        <f t="shared" si="28"/>
        <v>2.7345844504021447E-2</v>
      </c>
      <c r="X62" s="2">
        <f t="shared" si="33"/>
        <v>9580</v>
      </c>
      <c r="Y62" s="81" t="str">
        <f>TEXT('MYP Assumptions'!I72,"0.00%")&amp;", CPI"</f>
        <v>2.73%, CPI</v>
      </c>
      <c r="AA62" s="83">
        <f t="shared" si="29"/>
        <v>2.7348643006263048E-2</v>
      </c>
      <c r="AB62" s="2">
        <f t="shared" si="34"/>
        <v>9842</v>
      </c>
      <c r="AC62" s="81" t="str">
        <f>TEXT('MYP Assumptions'!J72,"0.00%")&amp;", CPI"</f>
        <v>2.73%, CPI</v>
      </c>
    </row>
    <row r="63" spans="1:29" hidden="1" x14ac:dyDescent="0.25">
      <c r="A63" s="66"/>
      <c r="B63" s="1326" t="s">
        <v>20</v>
      </c>
      <c r="C63" s="1243" t="s">
        <v>19</v>
      </c>
      <c r="D63" s="2">
        <v>0</v>
      </c>
      <c r="E63" s="1249"/>
      <c r="F63" s="2"/>
      <c r="G63" s="1527" t="str">
        <f t="shared" si="23"/>
        <v>0.00%</v>
      </c>
      <c r="H63" s="2">
        <f t="shared" si="24"/>
        <v>0</v>
      </c>
      <c r="I63" s="1240" t="str">
        <f>TEXT('MYP Assumptions'!E72,"0.00%")&amp;", CPI"</f>
        <v>3.11%, CPI</v>
      </c>
      <c r="J63" s="66"/>
      <c r="K63" s="1527" t="str">
        <f t="shared" si="25"/>
        <v>0.00%</v>
      </c>
      <c r="L63" s="2">
        <f t="shared" si="30"/>
        <v>0</v>
      </c>
      <c r="M63" s="1240" t="str">
        <f>TEXT('MYP Assumptions'!F72,"0.00%")&amp;", CPI"</f>
        <v>3.19%, CPI</v>
      </c>
      <c r="O63" s="1527" t="str">
        <f t="shared" si="26"/>
        <v>0.00%</v>
      </c>
      <c r="P63" s="2">
        <f t="shared" si="31"/>
        <v>0</v>
      </c>
      <c r="Q63" s="1240" t="str">
        <f>TEXT('MYP Assumptions'!G72,"0.00%")&amp;", CPI"</f>
        <v>2.86%, CPI</v>
      </c>
      <c r="S63" s="83" t="str">
        <f t="shared" si="27"/>
        <v>0.00%</v>
      </c>
      <c r="T63" s="2">
        <f t="shared" si="32"/>
        <v>0</v>
      </c>
      <c r="U63" s="81" t="str">
        <f>TEXT('MYP Assumptions'!H72,"0.00%")&amp;", CPI"</f>
        <v>2.73%, CPI</v>
      </c>
      <c r="W63" s="83" t="str">
        <f t="shared" si="28"/>
        <v>0.00%</v>
      </c>
      <c r="X63" s="2">
        <f t="shared" si="33"/>
        <v>0</v>
      </c>
      <c r="Y63" s="81" t="str">
        <f>TEXT('MYP Assumptions'!I72,"0.00%")&amp;", CPI"</f>
        <v>2.73%, CPI</v>
      </c>
      <c r="AA63" s="83" t="str">
        <f t="shared" si="29"/>
        <v>0.00%</v>
      </c>
      <c r="AB63" s="2">
        <f t="shared" si="34"/>
        <v>0</v>
      </c>
      <c r="AC63" s="81" t="str">
        <f>TEXT('MYP Assumptions'!J72,"0.00%")&amp;", CPI"</f>
        <v>2.73%, CPI</v>
      </c>
    </row>
    <row r="64" spans="1:29" hidden="1" x14ac:dyDescent="0.25">
      <c r="A64" s="66"/>
      <c r="B64" s="1326" t="s">
        <v>18</v>
      </c>
      <c r="C64" s="1243" t="s">
        <v>17</v>
      </c>
      <c r="D64" s="2">
        <v>0</v>
      </c>
      <c r="E64" s="1249"/>
      <c r="F64" s="2"/>
      <c r="G64" s="1527" t="str">
        <f t="shared" si="23"/>
        <v>0.00%</v>
      </c>
      <c r="H64" s="2">
        <f t="shared" si="24"/>
        <v>0</v>
      </c>
      <c r="I64" s="1240" t="str">
        <f>TEXT('MYP Assumptions'!E72,"0.00%")&amp;", CPI"</f>
        <v>3.11%, CPI</v>
      </c>
      <c r="J64" s="66"/>
      <c r="K64" s="1527" t="str">
        <f t="shared" si="25"/>
        <v>0.00%</v>
      </c>
      <c r="L64" s="2">
        <f t="shared" si="30"/>
        <v>0</v>
      </c>
      <c r="M64" s="1240" t="str">
        <f>TEXT('MYP Assumptions'!F72,"0.00%")&amp;", CPI"</f>
        <v>3.19%, CPI</v>
      </c>
      <c r="O64" s="1527" t="str">
        <f t="shared" si="26"/>
        <v>0.00%</v>
      </c>
      <c r="P64" s="2">
        <f t="shared" si="31"/>
        <v>0</v>
      </c>
      <c r="Q64" s="1240" t="str">
        <f>TEXT('MYP Assumptions'!G72,"0.00%")&amp;", CPI"</f>
        <v>2.86%, CPI</v>
      </c>
      <c r="S64" s="83" t="str">
        <f t="shared" si="27"/>
        <v>0.00%</v>
      </c>
      <c r="T64" s="2">
        <f t="shared" si="32"/>
        <v>0</v>
      </c>
      <c r="U64" s="81" t="str">
        <f>TEXT('MYP Assumptions'!H72,"0.00%")&amp;", CPI"</f>
        <v>2.73%, CPI</v>
      </c>
      <c r="W64" s="83" t="str">
        <f t="shared" si="28"/>
        <v>0.00%</v>
      </c>
      <c r="X64" s="2">
        <f t="shared" si="33"/>
        <v>0</v>
      </c>
      <c r="Y64" s="81" t="str">
        <f>TEXT('MYP Assumptions'!I72,"0.00%")&amp;", CPI"</f>
        <v>2.73%, CPI</v>
      </c>
      <c r="AA64" s="83" t="str">
        <f t="shared" si="29"/>
        <v>0.00%</v>
      </c>
      <c r="AB64" s="2">
        <f t="shared" si="34"/>
        <v>0</v>
      </c>
      <c r="AC64" s="81" t="str">
        <f>TEXT('MYP Assumptions'!J72,"0.00%")&amp;", CPI"</f>
        <v>2.73%, CPI</v>
      </c>
    </row>
    <row r="65" spans="1:29" hidden="1" x14ac:dyDescent="0.25">
      <c r="A65" s="66"/>
      <c r="B65" s="1326">
        <v>4000</v>
      </c>
      <c r="C65" s="1328">
        <v>0</v>
      </c>
      <c r="D65" s="2">
        <v>0</v>
      </c>
      <c r="E65" s="1249"/>
      <c r="F65" s="2"/>
      <c r="G65" s="1527" t="str">
        <f t="shared" si="23"/>
        <v>0.00%</v>
      </c>
      <c r="H65" s="2">
        <f t="shared" si="24"/>
        <v>0</v>
      </c>
      <c r="I65" s="1240" t="str">
        <f>TEXT('MYP Assumptions'!E72,"0.00%")&amp;", CPI"</f>
        <v>3.11%, CPI</v>
      </c>
      <c r="J65" s="66"/>
      <c r="K65" s="1527" t="str">
        <f t="shared" si="25"/>
        <v>0.00%</v>
      </c>
      <c r="L65" s="2">
        <f t="shared" si="30"/>
        <v>0</v>
      </c>
      <c r="M65" s="1240" t="str">
        <f>TEXT('MYP Assumptions'!F72,"0.00%")&amp;", CPI"</f>
        <v>3.19%, CPI</v>
      </c>
      <c r="O65" s="1527" t="str">
        <f t="shared" si="26"/>
        <v>0.00%</v>
      </c>
      <c r="P65" s="2">
        <f t="shared" si="31"/>
        <v>0</v>
      </c>
      <c r="Q65" s="1240" t="str">
        <f>TEXT('MYP Assumptions'!G72,"0.00%")&amp;", CPI"</f>
        <v>2.86%, CPI</v>
      </c>
      <c r="S65" s="83" t="str">
        <f t="shared" si="27"/>
        <v>0.00%</v>
      </c>
      <c r="T65" s="2">
        <f t="shared" si="32"/>
        <v>0</v>
      </c>
      <c r="U65" s="81" t="str">
        <f>TEXT('MYP Assumptions'!H72,"0.00%")&amp;", CPI"</f>
        <v>2.73%, CPI</v>
      </c>
      <c r="W65" s="83" t="str">
        <f t="shared" si="28"/>
        <v>0.00%</v>
      </c>
      <c r="X65" s="2">
        <f t="shared" si="33"/>
        <v>0</v>
      </c>
      <c r="Y65" s="81" t="str">
        <f>TEXT('MYP Assumptions'!I72,"0.00%")&amp;", CPI"</f>
        <v>2.73%, CPI</v>
      </c>
      <c r="AA65" s="83" t="str">
        <f t="shared" si="29"/>
        <v>0.00%</v>
      </c>
      <c r="AB65" s="2">
        <f t="shared" si="34"/>
        <v>0</v>
      </c>
      <c r="AC65" s="81" t="str">
        <f>TEXT('MYP Assumptions'!J72,"0.00%")&amp;", CPI"</f>
        <v>2.73%, CPI</v>
      </c>
    </row>
    <row r="66" spans="1:29" x14ac:dyDescent="0.25">
      <c r="A66" s="29"/>
      <c r="B66" s="1243"/>
      <c r="D66" s="8">
        <f>SUM(D59:D65)</f>
        <v>11566.3</v>
      </c>
      <c r="E66" s="1249"/>
      <c r="F66" s="2"/>
      <c r="G66" s="1527">
        <f t="shared" si="23"/>
        <v>-0.12876200686477088</v>
      </c>
      <c r="H66" s="8">
        <f>SUM(H59:H65)</f>
        <v>10077</v>
      </c>
      <c r="I66" s="1882">
        <f>+H66-D66</f>
        <v>-1489.2999999999993</v>
      </c>
      <c r="J66" s="29"/>
      <c r="K66" s="1527">
        <f t="shared" si="25"/>
        <v>-4.9617941847772157E-2</v>
      </c>
      <c r="L66" s="8">
        <f>SUM(L59:L65)</f>
        <v>9577</v>
      </c>
      <c r="M66" s="1882">
        <f>+L66-H66</f>
        <v>-500</v>
      </c>
      <c r="O66" s="1527">
        <f t="shared" si="26"/>
        <v>-5.2208415996658659E-2</v>
      </c>
      <c r="P66" s="8">
        <f>SUM(P59:P65)</f>
        <v>9077</v>
      </c>
      <c r="Q66" s="1882">
        <f>+P66-L66</f>
        <v>-500</v>
      </c>
      <c r="S66" s="83">
        <f t="shared" si="27"/>
        <v>2.7321802357607138E-2</v>
      </c>
      <c r="T66" s="8">
        <f>SUM(T59:T65)</f>
        <v>9325</v>
      </c>
      <c r="U66" s="73"/>
      <c r="W66" s="83">
        <f t="shared" si="28"/>
        <v>2.7345844504021447E-2</v>
      </c>
      <c r="X66" s="8">
        <f>SUM(X59:X65)</f>
        <v>9580</v>
      </c>
      <c r="Y66" s="73"/>
      <c r="AA66" s="83">
        <f t="shared" si="29"/>
        <v>2.7348643006263048E-2</v>
      </c>
      <c r="AB66" s="8">
        <f>SUM(AB59:AB65)</f>
        <v>9842</v>
      </c>
      <c r="AC66" s="73"/>
    </row>
    <row r="67" spans="1:29" x14ac:dyDescent="0.25">
      <c r="A67" s="66"/>
      <c r="E67" s="1249"/>
      <c r="F67" s="2"/>
      <c r="H67" s="2"/>
      <c r="I67" s="1257"/>
      <c r="J67" s="66"/>
      <c r="L67" s="2"/>
      <c r="M67" s="1335"/>
      <c r="Q67" s="1335"/>
      <c r="T67" s="2"/>
      <c r="U67" s="73"/>
      <c r="X67" s="2"/>
      <c r="Y67" s="73"/>
      <c r="AB67" s="2"/>
      <c r="AC67" s="73"/>
    </row>
    <row r="68" spans="1:29" s="4" customFormat="1" x14ac:dyDescent="0.25">
      <c r="A68" s="58"/>
      <c r="B68" s="1323" t="s">
        <v>16</v>
      </c>
      <c r="C68" s="1259"/>
      <c r="D68" s="6"/>
      <c r="E68" s="1250"/>
      <c r="F68" s="6"/>
      <c r="G68" s="1539"/>
      <c r="H68" s="6"/>
      <c r="I68" s="1259"/>
      <c r="J68" s="58"/>
      <c r="K68" s="1571"/>
      <c r="L68" s="6"/>
      <c r="M68" s="1337"/>
      <c r="O68" s="1571"/>
      <c r="P68" s="6"/>
      <c r="Q68" s="1337"/>
      <c r="R68" s="111"/>
      <c r="U68" s="71"/>
      <c r="Y68" s="71"/>
      <c r="AC68" s="71"/>
    </row>
    <row r="69" spans="1:29" hidden="1" x14ac:dyDescent="0.25">
      <c r="A69" s="66"/>
      <c r="B69" s="1326" t="s">
        <v>15</v>
      </c>
      <c r="C69" s="1243" t="s">
        <v>14</v>
      </c>
      <c r="D69" s="2">
        <v>0</v>
      </c>
      <c r="E69" s="1249"/>
      <c r="F69" s="2"/>
      <c r="G69" s="1527" t="str">
        <f t="shared" ref="G69:G74" si="35">IF(D69=0,"0.00%",(H69-D69)/D69)</f>
        <v>0.00%</v>
      </c>
      <c r="H69" s="2">
        <f>ROUND(D69*(LEFT(I69,5)+1),0)</f>
        <v>0</v>
      </c>
      <c r="I69" s="1240" t="str">
        <f>TEXT('MYP Assumptions'!E72,"0.00%")&amp;", CPI"</f>
        <v>3.11%, CPI</v>
      </c>
      <c r="J69" s="66"/>
      <c r="K69" s="1527" t="str">
        <f t="shared" ref="K69:K82" si="36">IF(H69=0,"0.00%",(L69-H69)/H69)</f>
        <v>0.00%</v>
      </c>
      <c r="L69" s="2">
        <f>ROUND(H69*(LEFT(M69,5)+1),0)</f>
        <v>0</v>
      </c>
      <c r="M69" s="1240" t="str">
        <f>TEXT('MYP Assumptions'!F72,"0.00%")&amp;", CPI"</f>
        <v>3.19%, CPI</v>
      </c>
      <c r="O69" s="1527" t="str">
        <f t="shared" ref="O69:O82" si="37">IF(L69=0,"0.00%",(P69-L69)/L69)</f>
        <v>0.00%</v>
      </c>
      <c r="P69" s="2">
        <f>ROUND(L69*(LEFT(Q69,5)+1),0)</f>
        <v>0</v>
      </c>
      <c r="Q69" s="1240" t="str">
        <f>TEXT('MYP Assumptions'!G72,"0.00%")&amp;", CPI"</f>
        <v>2.86%, CPI</v>
      </c>
      <c r="S69" s="83" t="str">
        <f t="shared" ref="S69:S82" si="38">IF(P69=0,"0.00%",(T69-P69)/P69)</f>
        <v>0.00%</v>
      </c>
      <c r="T69" s="2">
        <f>ROUND(P69*(LEFT(U69,5)+1),0)</f>
        <v>0</v>
      </c>
      <c r="U69" s="81" t="str">
        <f>TEXT('MYP Assumptions'!H72,"0.00%")&amp;", CPI"</f>
        <v>2.73%, CPI</v>
      </c>
      <c r="W69" s="83" t="str">
        <f t="shared" ref="W69:W82" si="39">IF(T69=0,"0.00%",(X69-T69)/T69)</f>
        <v>0.00%</v>
      </c>
      <c r="X69" s="2">
        <f>ROUND(T69*(LEFT(Y69,5)+1),0)</f>
        <v>0</v>
      </c>
      <c r="Y69" s="81" t="str">
        <f>TEXT('MYP Assumptions'!I72,"0.00%")&amp;", CPI"</f>
        <v>2.73%, CPI</v>
      </c>
      <c r="AA69" s="83" t="str">
        <f t="shared" ref="AA69:AA82" si="40">IF(X69=0,"0.00%",(AB69-X69)/X69)</f>
        <v>0.00%</v>
      </c>
      <c r="AB69" s="2">
        <f>ROUND(X69*(LEFT(AC69,5)+1),0)</f>
        <v>0</v>
      </c>
      <c r="AC69" s="81" t="str">
        <f>TEXT('MYP Assumptions'!J72,"0.00%")&amp;", CPI"</f>
        <v>2.73%, CPI</v>
      </c>
    </row>
    <row r="70" spans="1:29" hidden="1" x14ac:dyDescent="0.25">
      <c r="A70" s="66"/>
      <c r="B70" s="1326" t="s">
        <v>13</v>
      </c>
      <c r="C70" s="1243" t="s">
        <v>12</v>
      </c>
      <c r="D70" s="2">
        <v>0</v>
      </c>
      <c r="E70" s="1249"/>
      <c r="F70" s="2"/>
      <c r="G70" s="1527" t="str">
        <f t="shared" si="35"/>
        <v>0.00%</v>
      </c>
      <c r="H70" s="2">
        <f>ROUND(D70*(LEFT(I70,5)+1),0)</f>
        <v>0</v>
      </c>
      <c r="I70" s="1240" t="str">
        <f>TEXT('MYP Assumptions'!E72,"0.00%")&amp;", CPI"</f>
        <v>3.11%, CPI</v>
      </c>
      <c r="J70" s="66"/>
      <c r="K70" s="1527" t="str">
        <f t="shared" si="36"/>
        <v>0.00%</v>
      </c>
      <c r="L70" s="2">
        <f t="shared" ref="L70:L81" si="41">ROUND(H70*(LEFT(M70,5)+1),0)</f>
        <v>0</v>
      </c>
      <c r="M70" s="1240" t="str">
        <f>TEXT('MYP Assumptions'!F72,"0.00%")&amp;", CPI"</f>
        <v>3.19%, CPI</v>
      </c>
      <c r="O70" s="1527" t="str">
        <f t="shared" si="37"/>
        <v>0.00%</v>
      </c>
      <c r="P70" s="2">
        <f t="shared" ref="P70:P81" si="42">ROUND(L70*(LEFT(Q70,5)+1),0)</f>
        <v>0</v>
      </c>
      <c r="Q70" s="1240" t="str">
        <f>TEXT('MYP Assumptions'!G72,"0.00%")&amp;", CPI"</f>
        <v>2.86%, CPI</v>
      </c>
      <c r="S70" s="83" t="str">
        <f t="shared" si="38"/>
        <v>0.00%</v>
      </c>
      <c r="T70" s="2">
        <f t="shared" ref="T70:T81" si="43">ROUND(P70*(LEFT(U70,5)+1),0)</f>
        <v>0</v>
      </c>
      <c r="U70" s="81" t="str">
        <f>TEXT('MYP Assumptions'!H72,"0.00%")&amp;", CPI"</f>
        <v>2.73%, CPI</v>
      </c>
      <c r="W70" s="83" t="str">
        <f t="shared" si="39"/>
        <v>0.00%</v>
      </c>
      <c r="X70" s="2">
        <f t="shared" ref="X70:X81" si="44">ROUND(T70*(LEFT(Y70,5)+1),0)</f>
        <v>0</v>
      </c>
      <c r="Y70" s="81" t="str">
        <f>TEXT('MYP Assumptions'!I72,"0.00%")&amp;", CPI"</f>
        <v>2.73%, CPI</v>
      </c>
      <c r="AA70" s="83" t="str">
        <f t="shared" si="40"/>
        <v>0.00%</v>
      </c>
      <c r="AB70" s="2">
        <f t="shared" ref="AB70:AB81" si="45">ROUND(X70*(LEFT(AC70,5)+1),0)</f>
        <v>0</v>
      </c>
      <c r="AC70" s="81" t="str">
        <f>TEXT('MYP Assumptions'!J72,"0.00%")&amp;", CPI"</f>
        <v>2.73%, CPI</v>
      </c>
    </row>
    <row r="71" spans="1:29" hidden="1" x14ac:dyDescent="0.25">
      <c r="A71" s="66"/>
      <c r="B71" s="1326" t="s">
        <v>128</v>
      </c>
      <c r="C71" s="1243" t="s">
        <v>129</v>
      </c>
      <c r="D71" s="2">
        <v>0</v>
      </c>
      <c r="E71" s="1249"/>
      <c r="F71" s="2"/>
      <c r="G71" s="1527" t="str">
        <f t="shared" si="35"/>
        <v>0.00%</v>
      </c>
      <c r="H71" s="2">
        <f t="shared" ref="H71:H76" si="46">ROUND(D71*(LEFT(I71,5)+1),0)</f>
        <v>0</v>
      </c>
      <c r="I71" s="1240" t="str">
        <f>TEXT('MYP Assumptions'!E72,"0.00%")&amp;", CPI"</f>
        <v>3.11%, CPI</v>
      </c>
      <c r="J71" s="66"/>
      <c r="K71" s="1527" t="str">
        <f t="shared" si="36"/>
        <v>0.00%</v>
      </c>
      <c r="L71" s="2">
        <f t="shared" si="41"/>
        <v>0</v>
      </c>
      <c r="M71" s="1240" t="str">
        <f>TEXT('MYP Assumptions'!F72,"0.00%")&amp;", CPI"</f>
        <v>3.19%, CPI</v>
      </c>
      <c r="O71" s="1527" t="str">
        <f t="shared" si="37"/>
        <v>0.00%</v>
      </c>
      <c r="P71" s="2">
        <f t="shared" si="42"/>
        <v>0</v>
      </c>
      <c r="Q71" s="1240" t="str">
        <f>TEXT('MYP Assumptions'!G72,"0.00%")&amp;", CPI"</f>
        <v>2.86%, CPI</v>
      </c>
      <c r="S71" s="83" t="str">
        <f t="shared" si="38"/>
        <v>0.00%</v>
      </c>
      <c r="T71" s="2">
        <f t="shared" si="43"/>
        <v>0</v>
      </c>
      <c r="U71" s="81" t="str">
        <f>TEXT('MYP Assumptions'!H72,"0.00%")&amp;", CPI"</f>
        <v>2.73%, CPI</v>
      </c>
      <c r="W71" s="83" t="str">
        <f t="shared" si="39"/>
        <v>0.00%</v>
      </c>
      <c r="X71" s="2">
        <f t="shared" si="44"/>
        <v>0</v>
      </c>
      <c r="Y71" s="81" t="str">
        <f>TEXT('MYP Assumptions'!I72,"0.00%")&amp;", CPI"</f>
        <v>2.73%, CPI</v>
      </c>
      <c r="AA71" s="83" t="str">
        <f t="shared" si="40"/>
        <v>0.00%</v>
      </c>
      <c r="AB71" s="2">
        <f t="shared" si="45"/>
        <v>0</v>
      </c>
      <c r="AC71" s="81" t="str">
        <f>TEXT('MYP Assumptions'!J72,"0.00%")&amp;", CPI"</f>
        <v>2.73%, CPI</v>
      </c>
    </row>
    <row r="72" spans="1:29" hidden="1" x14ac:dyDescent="0.25">
      <c r="A72" s="66"/>
      <c r="B72" s="1326" t="s">
        <v>11</v>
      </c>
      <c r="C72" s="1243" t="s">
        <v>10</v>
      </c>
      <c r="D72" s="2">
        <v>0</v>
      </c>
      <c r="E72" s="1249"/>
      <c r="F72" s="2"/>
      <c r="G72" s="1527" t="str">
        <f t="shared" si="35"/>
        <v>0.00%</v>
      </c>
      <c r="H72" s="2">
        <f t="shared" si="46"/>
        <v>0</v>
      </c>
      <c r="I72" s="1240" t="str">
        <f>TEXT('MYP Assumptions'!E72,"0.00%")&amp;", CPI"</f>
        <v>3.11%, CPI</v>
      </c>
      <c r="J72" s="66"/>
      <c r="K72" s="1527" t="str">
        <f t="shared" si="36"/>
        <v>0.00%</v>
      </c>
      <c r="L72" s="2">
        <f t="shared" si="41"/>
        <v>0</v>
      </c>
      <c r="M72" s="1240" t="str">
        <f>TEXT('MYP Assumptions'!F72,"0.00%")&amp;", CPI"</f>
        <v>3.19%, CPI</v>
      </c>
      <c r="O72" s="1527" t="str">
        <f t="shared" si="37"/>
        <v>0.00%</v>
      </c>
      <c r="P72" s="2">
        <f t="shared" si="42"/>
        <v>0</v>
      </c>
      <c r="Q72" s="1240" t="str">
        <f>TEXT('MYP Assumptions'!G72,"0.00%")&amp;", CPI"</f>
        <v>2.86%, CPI</v>
      </c>
      <c r="S72" s="83" t="str">
        <f t="shared" si="38"/>
        <v>0.00%</v>
      </c>
      <c r="T72" s="2">
        <f t="shared" si="43"/>
        <v>0</v>
      </c>
      <c r="U72" s="81" t="str">
        <f>TEXT('MYP Assumptions'!H72,"0.00%")&amp;", CPI"</f>
        <v>2.73%, CPI</v>
      </c>
      <c r="W72" s="83" t="str">
        <f t="shared" si="39"/>
        <v>0.00%</v>
      </c>
      <c r="X72" s="2">
        <f t="shared" si="44"/>
        <v>0</v>
      </c>
      <c r="Y72" s="81" t="str">
        <f>TEXT('MYP Assumptions'!I72,"0.00%")&amp;", CPI"</f>
        <v>2.73%, CPI</v>
      </c>
      <c r="AA72" s="83" t="str">
        <f t="shared" si="40"/>
        <v>0.00%</v>
      </c>
      <c r="AB72" s="2">
        <f t="shared" si="45"/>
        <v>0</v>
      </c>
      <c r="AC72" s="81" t="str">
        <f>TEXT('MYP Assumptions'!J72,"0.00%")&amp;", CPI"</f>
        <v>2.73%, CPI</v>
      </c>
    </row>
    <row r="73" spans="1:29" hidden="1" x14ac:dyDescent="0.25">
      <c r="A73" s="66"/>
      <c r="B73" s="1326" t="s">
        <v>120</v>
      </c>
      <c r="C73" s="1243" t="s">
        <v>121</v>
      </c>
      <c r="D73" s="2">
        <v>0</v>
      </c>
      <c r="E73" s="1249"/>
      <c r="F73" s="2"/>
      <c r="G73" s="1527" t="str">
        <f t="shared" si="35"/>
        <v>0.00%</v>
      </c>
      <c r="H73" s="2">
        <f t="shared" si="46"/>
        <v>0</v>
      </c>
      <c r="I73" s="1240" t="str">
        <f>TEXT('MYP Assumptions'!E72,"0.00%")&amp;", CPI"</f>
        <v>3.11%, CPI</v>
      </c>
      <c r="J73" s="66"/>
      <c r="K73" s="1527" t="str">
        <f t="shared" si="36"/>
        <v>0.00%</v>
      </c>
      <c r="L73" s="2">
        <f t="shared" si="41"/>
        <v>0</v>
      </c>
      <c r="M73" s="1240" t="str">
        <f>TEXT('MYP Assumptions'!F72,"0.00%")&amp;", CPI"</f>
        <v>3.19%, CPI</v>
      </c>
      <c r="O73" s="1527" t="str">
        <f t="shared" si="37"/>
        <v>0.00%</v>
      </c>
      <c r="P73" s="2">
        <f t="shared" si="42"/>
        <v>0</v>
      </c>
      <c r="Q73" s="1240" t="str">
        <f>TEXT('MYP Assumptions'!G72,"0.00%")&amp;", CPI"</f>
        <v>2.86%, CPI</v>
      </c>
      <c r="S73" s="83" t="str">
        <f t="shared" si="38"/>
        <v>0.00%</v>
      </c>
      <c r="T73" s="2">
        <f t="shared" si="43"/>
        <v>0</v>
      </c>
      <c r="U73" s="81" t="str">
        <f>TEXT('MYP Assumptions'!H72,"0.00%")&amp;", CPI"</f>
        <v>2.73%, CPI</v>
      </c>
      <c r="W73" s="83" t="str">
        <f t="shared" si="39"/>
        <v>0.00%</v>
      </c>
      <c r="X73" s="2">
        <f t="shared" si="44"/>
        <v>0</v>
      </c>
      <c r="Y73" s="81" t="str">
        <f>TEXT('MYP Assumptions'!I72,"0.00%")&amp;", CPI"</f>
        <v>2.73%, CPI</v>
      </c>
      <c r="AA73" s="83" t="str">
        <f t="shared" si="40"/>
        <v>0.00%</v>
      </c>
      <c r="AB73" s="2">
        <f t="shared" si="45"/>
        <v>0</v>
      </c>
      <c r="AC73" s="81" t="str">
        <f>TEXT('MYP Assumptions'!J72,"0.00%")&amp;", CPI"</f>
        <v>2.73%, CPI</v>
      </c>
    </row>
    <row r="74" spans="1:29" hidden="1" x14ac:dyDescent="0.25">
      <c r="A74" s="66"/>
      <c r="B74" s="1326" t="s">
        <v>126</v>
      </c>
      <c r="C74" s="1243" t="s">
        <v>127</v>
      </c>
      <c r="D74" s="2">
        <v>0</v>
      </c>
      <c r="E74" s="1249"/>
      <c r="F74" s="2"/>
      <c r="G74" s="1527" t="str">
        <f t="shared" si="35"/>
        <v>0.00%</v>
      </c>
      <c r="H74" s="2">
        <f t="shared" si="46"/>
        <v>0</v>
      </c>
      <c r="I74" s="1240" t="str">
        <f>TEXT('MYP Assumptions'!E72,"0.00%")&amp;", CPI"</f>
        <v>3.11%, CPI</v>
      </c>
      <c r="J74" s="66"/>
      <c r="K74" s="1527" t="str">
        <f t="shared" si="36"/>
        <v>0.00%</v>
      </c>
      <c r="L74" s="2">
        <f t="shared" si="41"/>
        <v>0</v>
      </c>
      <c r="M74" s="1240" t="str">
        <f>TEXT('MYP Assumptions'!F72,"0.00%")&amp;", CPI"</f>
        <v>3.19%, CPI</v>
      </c>
      <c r="O74" s="1527" t="str">
        <f t="shared" si="37"/>
        <v>0.00%</v>
      </c>
      <c r="P74" s="2">
        <f t="shared" si="42"/>
        <v>0</v>
      </c>
      <c r="Q74" s="1240" t="str">
        <f>TEXT('MYP Assumptions'!G72,"0.00%")&amp;", CPI"</f>
        <v>2.86%, CPI</v>
      </c>
      <c r="S74" s="83" t="str">
        <f t="shared" si="38"/>
        <v>0.00%</v>
      </c>
      <c r="T74" s="2">
        <f t="shared" si="43"/>
        <v>0</v>
      </c>
      <c r="U74" s="81" t="str">
        <f>TEXT('MYP Assumptions'!H72,"0.00%")&amp;", CPI"</f>
        <v>2.73%, CPI</v>
      </c>
      <c r="W74" s="83" t="str">
        <f t="shared" si="39"/>
        <v>0.00%</v>
      </c>
      <c r="X74" s="2">
        <f t="shared" si="44"/>
        <v>0</v>
      </c>
      <c r="Y74" s="81" t="str">
        <f>TEXT('MYP Assumptions'!I72,"0.00%")&amp;", CPI"</f>
        <v>2.73%, CPI</v>
      </c>
      <c r="AA74" s="83" t="str">
        <f t="shared" si="40"/>
        <v>0.00%</v>
      </c>
      <c r="AB74" s="2">
        <f t="shared" si="45"/>
        <v>0</v>
      </c>
      <c r="AC74" s="81" t="str">
        <f>TEXT('MYP Assumptions'!J72,"0.00%")&amp;", CPI"</f>
        <v>2.73%, CPI</v>
      </c>
    </row>
    <row r="75" spans="1:29" hidden="1" x14ac:dyDescent="0.25">
      <c r="A75" s="66"/>
      <c r="B75" s="1326" t="s">
        <v>9</v>
      </c>
      <c r="C75" s="1243" t="s">
        <v>8</v>
      </c>
      <c r="D75" s="2">
        <v>0</v>
      </c>
      <c r="E75" s="1249"/>
      <c r="F75" s="2"/>
      <c r="G75" s="1527" t="str">
        <f>IF(D75=0,"0.00%",(H75-D75)/D75)</f>
        <v>0.00%</v>
      </c>
      <c r="H75" s="2">
        <f t="shared" si="46"/>
        <v>0</v>
      </c>
      <c r="I75" s="1240" t="str">
        <f>TEXT('MYP Assumptions'!E72,"0.00%")&amp;", CPI"</f>
        <v>3.11%, CPI</v>
      </c>
      <c r="J75" s="66"/>
      <c r="K75" s="1527" t="str">
        <f t="shared" si="36"/>
        <v>0.00%</v>
      </c>
      <c r="L75" s="2">
        <f t="shared" si="41"/>
        <v>0</v>
      </c>
      <c r="M75" s="1240" t="str">
        <f>TEXT('MYP Assumptions'!F72,"0.00%")&amp;", CPI"</f>
        <v>3.19%, CPI</v>
      </c>
      <c r="O75" s="1527" t="str">
        <f t="shared" si="37"/>
        <v>0.00%</v>
      </c>
      <c r="P75" s="2">
        <f t="shared" si="42"/>
        <v>0</v>
      </c>
      <c r="Q75" s="1240" t="str">
        <f>TEXT('MYP Assumptions'!G72,"0.00%")&amp;", CPI"</f>
        <v>2.86%, CPI</v>
      </c>
      <c r="S75" s="83" t="str">
        <f t="shared" si="38"/>
        <v>0.00%</v>
      </c>
      <c r="T75" s="2">
        <f t="shared" si="43"/>
        <v>0</v>
      </c>
      <c r="U75" s="81" t="str">
        <f>TEXT('MYP Assumptions'!H72,"0.00%")&amp;", CPI"</f>
        <v>2.73%, CPI</v>
      </c>
      <c r="W75" s="83" t="str">
        <f t="shared" si="39"/>
        <v>0.00%</v>
      </c>
      <c r="X75" s="2">
        <f t="shared" si="44"/>
        <v>0</v>
      </c>
      <c r="Y75" s="81" t="str">
        <f>TEXT('MYP Assumptions'!I72,"0.00%")&amp;", CPI"</f>
        <v>2.73%, CPI</v>
      </c>
      <c r="AA75" s="83" t="str">
        <f t="shared" si="40"/>
        <v>0.00%</v>
      </c>
      <c r="AB75" s="2">
        <f t="shared" si="45"/>
        <v>0</v>
      </c>
      <c r="AC75" s="81" t="str">
        <f>TEXT('MYP Assumptions'!J72,"0.00%")&amp;", CPI"</f>
        <v>2.73%, CPI</v>
      </c>
    </row>
    <row r="76" spans="1:29" hidden="1" x14ac:dyDescent="0.25">
      <c r="A76" s="66"/>
      <c r="B76" s="1326" t="s">
        <v>122</v>
      </c>
      <c r="C76" s="1243" t="s">
        <v>123</v>
      </c>
      <c r="D76" s="2">
        <v>0</v>
      </c>
      <c r="E76" s="1249"/>
      <c r="F76" s="2"/>
      <c r="G76" s="1527" t="str">
        <f t="shared" ref="G76:G82" si="47">IF(D76=0,"0.00%",(H76-D76)/D76)</f>
        <v>0.00%</v>
      </c>
      <c r="H76" s="2">
        <f t="shared" si="46"/>
        <v>0</v>
      </c>
      <c r="I76" s="1240" t="str">
        <f>TEXT('MYP Assumptions'!E72,"0.00%")&amp;", CPI"</f>
        <v>3.11%, CPI</v>
      </c>
      <c r="J76" s="66"/>
      <c r="K76" s="1527" t="str">
        <f t="shared" si="36"/>
        <v>0.00%</v>
      </c>
      <c r="L76" s="2">
        <f t="shared" si="41"/>
        <v>0</v>
      </c>
      <c r="M76" s="1240" t="str">
        <f>TEXT('MYP Assumptions'!F72,"0.00%")&amp;", CPI"</f>
        <v>3.19%, CPI</v>
      </c>
      <c r="O76" s="1527" t="str">
        <f t="shared" si="37"/>
        <v>0.00%</v>
      </c>
      <c r="P76" s="2">
        <f t="shared" si="42"/>
        <v>0</v>
      </c>
      <c r="Q76" s="1240" t="str">
        <f>TEXT('MYP Assumptions'!G72,"0.00%")&amp;", CPI"</f>
        <v>2.86%, CPI</v>
      </c>
      <c r="S76" s="83" t="str">
        <f t="shared" si="38"/>
        <v>0.00%</v>
      </c>
      <c r="T76" s="2">
        <f t="shared" si="43"/>
        <v>0</v>
      </c>
      <c r="U76" s="81" t="str">
        <f>TEXT('MYP Assumptions'!H72,"0.00%")&amp;", CPI"</f>
        <v>2.73%, CPI</v>
      </c>
      <c r="W76" s="83" t="str">
        <f t="shared" si="39"/>
        <v>0.00%</v>
      </c>
      <c r="X76" s="2">
        <f t="shared" si="44"/>
        <v>0</v>
      </c>
      <c r="Y76" s="81" t="str">
        <f>TEXT('MYP Assumptions'!I72,"0.00%")&amp;", CPI"</f>
        <v>2.73%, CPI</v>
      </c>
      <c r="AA76" s="83" t="str">
        <f t="shared" si="40"/>
        <v>0.00%</v>
      </c>
      <c r="AB76" s="2">
        <f t="shared" si="45"/>
        <v>0</v>
      </c>
      <c r="AC76" s="81" t="str">
        <f>TEXT('MYP Assumptions'!J72,"0.00%")&amp;", CPI"</f>
        <v>2.73%, CPI</v>
      </c>
    </row>
    <row r="77" spans="1:29" hidden="1" x14ac:dyDescent="0.25">
      <c r="A77" s="66"/>
      <c r="B77" s="1326" t="s">
        <v>7</v>
      </c>
      <c r="C77" s="1243" t="s">
        <v>6</v>
      </c>
      <c r="D77" s="2">
        <v>0</v>
      </c>
      <c r="E77" s="1249"/>
      <c r="F77" s="2"/>
      <c r="G77" s="1527" t="str">
        <f t="shared" si="47"/>
        <v>0.00%</v>
      </c>
      <c r="H77" s="2">
        <f>ROUND(D77*(LEFT(I77,5)+1),0)</f>
        <v>0</v>
      </c>
      <c r="I77" s="1240" t="str">
        <f>TEXT('MYP Assumptions'!E72,"0.00%")&amp;", CPI"</f>
        <v>3.11%, CPI</v>
      </c>
      <c r="J77" s="66"/>
      <c r="K77" s="1527" t="str">
        <f t="shared" si="36"/>
        <v>0.00%</v>
      </c>
      <c r="L77" s="2">
        <f t="shared" si="41"/>
        <v>0</v>
      </c>
      <c r="M77" s="1240" t="str">
        <f>TEXT('MYP Assumptions'!F72,"0.00%")&amp;", CPI"</f>
        <v>3.19%, CPI</v>
      </c>
      <c r="O77" s="1527" t="str">
        <f t="shared" si="37"/>
        <v>0.00%</v>
      </c>
      <c r="P77" s="2">
        <f t="shared" si="42"/>
        <v>0</v>
      </c>
      <c r="Q77" s="1240" t="str">
        <f>TEXT('MYP Assumptions'!G72,"0.00%")&amp;", CPI"</f>
        <v>2.86%, CPI</v>
      </c>
      <c r="S77" s="83" t="str">
        <f t="shared" si="38"/>
        <v>0.00%</v>
      </c>
      <c r="T77" s="2">
        <f t="shared" si="43"/>
        <v>0</v>
      </c>
      <c r="U77" s="81" t="str">
        <f>TEXT('MYP Assumptions'!H72,"0.00%")&amp;", CPI"</f>
        <v>2.73%, CPI</v>
      </c>
      <c r="W77" s="83" t="str">
        <f t="shared" si="39"/>
        <v>0.00%</v>
      </c>
      <c r="X77" s="2">
        <f t="shared" si="44"/>
        <v>0</v>
      </c>
      <c r="Y77" s="81" t="str">
        <f>TEXT('MYP Assumptions'!I72,"0.00%")&amp;", CPI"</f>
        <v>2.73%, CPI</v>
      </c>
      <c r="AA77" s="83" t="str">
        <f t="shared" si="40"/>
        <v>0.00%</v>
      </c>
      <c r="AB77" s="2">
        <f t="shared" si="45"/>
        <v>0</v>
      </c>
      <c r="AC77" s="81" t="str">
        <f>TEXT('MYP Assumptions'!J72,"0.00%")&amp;", CPI"</f>
        <v>2.73%, CPI</v>
      </c>
    </row>
    <row r="78" spans="1:29" x14ac:dyDescent="0.25">
      <c r="A78" s="66"/>
      <c r="B78" s="1326" t="s">
        <v>5</v>
      </c>
      <c r="C78" s="1243" t="s">
        <v>4</v>
      </c>
      <c r="D78" s="2">
        <v>11500</v>
      </c>
      <c r="E78" s="1249" t="s">
        <v>767</v>
      </c>
      <c r="F78" s="2"/>
      <c r="G78" s="1527">
        <f t="shared" si="47"/>
        <v>0</v>
      </c>
      <c r="H78" s="2">
        <v>11500</v>
      </c>
      <c r="I78" s="1240"/>
      <c r="J78" s="66"/>
      <c r="K78" s="1527">
        <f t="shared" si="36"/>
        <v>4.3478260869565216E-2</v>
      </c>
      <c r="L78" s="2">
        <v>12000</v>
      </c>
      <c r="M78" s="1240"/>
      <c r="O78" s="1527">
        <f t="shared" si="37"/>
        <v>4.1666666666666664E-2</v>
      </c>
      <c r="P78" s="2">
        <v>12500</v>
      </c>
      <c r="Q78" s="1240"/>
      <c r="S78" s="83">
        <f t="shared" si="38"/>
        <v>2.7279999999999999E-2</v>
      </c>
      <c r="T78" s="2">
        <f t="shared" si="43"/>
        <v>12841</v>
      </c>
      <c r="U78" s="81" t="str">
        <f>TEXT('MYP Assumptions'!H72,"0.00%")&amp;", CPI"</f>
        <v>2.73%, CPI</v>
      </c>
      <c r="W78" s="83">
        <f t="shared" si="39"/>
        <v>2.7334319757028269E-2</v>
      </c>
      <c r="X78" s="2">
        <f t="shared" si="44"/>
        <v>13192</v>
      </c>
      <c r="Y78" s="81" t="str">
        <f>TEXT('MYP Assumptions'!I72,"0.00%")&amp;", CPI"</f>
        <v>2.73%, CPI</v>
      </c>
      <c r="AA78" s="83">
        <f t="shared" si="40"/>
        <v>2.7289266221952699E-2</v>
      </c>
      <c r="AB78" s="2">
        <f t="shared" si="45"/>
        <v>13552</v>
      </c>
      <c r="AC78" s="81" t="str">
        <f>TEXT('MYP Assumptions'!J72,"0.00%")&amp;", CPI"</f>
        <v>2.73%, CPI</v>
      </c>
    </row>
    <row r="79" spans="1:29" hidden="1" x14ac:dyDescent="0.25">
      <c r="A79" s="66"/>
      <c r="B79" s="1326" t="s">
        <v>3</v>
      </c>
      <c r="C79" s="1243" t="s">
        <v>2</v>
      </c>
      <c r="D79" s="2">
        <v>0</v>
      </c>
      <c r="E79" s="1249"/>
      <c r="F79" s="2"/>
      <c r="G79" s="1527" t="str">
        <f t="shared" si="47"/>
        <v>0.00%</v>
      </c>
      <c r="H79" s="2">
        <f>ROUND(D79*(LEFT(I79,5)+1),0)</f>
        <v>0</v>
      </c>
      <c r="I79" s="1240" t="str">
        <f>TEXT('MYP Assumptions'!E72,"0.00%")&amp;", CPI"</f>
        <v>3.11%, CPI</v>
      </c>
      <c r="J79" s="66"/>
      <c r="K79" s="1527" t="str">
        <f t="shared" si="36"/>
        <v>0.00%</v>
      </c>
      <c r="L79" s="2">
        <f t="shared" si="41"/>
        <v>0</v>
      </c>
      <c r="M79" s="1240" t="str">
        <f>TEXT('MYP Assumptions'!F72,"0.00%")&amp;", CPI"</f>
        <v>3.19%, CPI</v>
      </c>
      <c r="O79" s="1527" t="str">
        <f t="shared" si="37"/>
        <v>0.00%</v>
      </c>
      <c r="P79" s="2">
        <f t="shared" si="42"/>
        <v>0</v>
      </c>
      <c r="Q79" s="1240" t="str">
        <f>TEXT('MYP Assumptions'!G72,"0.00%")&amp;", CPI"</f>
        <v>2.86%, CPI</v>
      </c>
      <c r="S79" s="83" t="str">
        <f t="shared" si="38"/>
        <v>0.00%</v>
      </c>
      <c r="T79" s="2">
        <f t="shared" si="43"/>
        <v>0</v>
      </c>
      <c r="U79" s="81" t="str">
        <f>TEXT('MYP Assumptions'!H72,"0.00%")&amp;", CPI"</f>
        <v>2.73%, CPI</v>
      </c>
      <c r="W79" s="83" t="str">
        <f t="shared" si="39"/>
        <v>0.00%</v>
      </c>
      <c r="X79" s="2">
        <f t="shared" si="44"/>
        <v>0</v>
      </c>
      <c r="Y79" s="81" t="str">
        <f>TEXT('MYP Assumptions'!I72,"0.00%")&amp;", CPI"</f>
        <v>2.73%, CPI</v>
      </c>
      <c r="AA79" s="83" t="str">
        <f t="shared" si="40"/>
        <v>0.00%</v>
      </c>
      <c r="AB79" s="2">
        <f t="shared" si="45"/>
        <v>0</v>
      </c>
      <c r="AC79" s="81" t="str">
        <f>TEXT('MYP Assumptions'!J72,"0.00%")&amp;", CPI"</f>
        <v>2.73%, CPI</v>
      </c>
    </row>
    <row r="80" spans="1:29" hidden="1" x14ac:dyDescent="0.25">
      <c r="A80" s="66"/>
      <c r="B80" s="1326" t="s">
        <v>124</v>
      </c>
      <c r="C80" s="1243" t="s">
        <v>125</v>
      </c>
      <c r="D80" s="2">
        <v>0</v>
      </c>
      <c r="E80" s="1249"/>
      <c r="F80" s="2"/>
      <c r="G80" s="1527" t="str">
        <f t="shared" si="47"/>
        <v>0.00%</v>
      </c>
      <c r="H80" s="2">
        <f>ROUND(D80*(LEFT(I80,5)+1),0)</f>
        <v>0</v>
      </c>
      <c r="I80" s="1240" t="str">
        <f>TEXT('MYP Assumptions'!E72,"0.00%")&amp;", CPI"</f>
        <v>3.11%, CPI</v>
      </c>
      <c r="J80" s="66"/>
      <c r="K80" s="1527" t="str">
        <f t="shared" si="36"/>
        <v>0.00%</v>
      </c>
      <c r="L80" s="2">
        <f t="shared" si="41"/>
        <v>0</v>
      </c>
      <c r="M80" s="1240" t="str">
        <f>TEXT('MYP Assumptions'!F72,"0.00%")&amp;", CPI"</f>
        <v>3.19%, CPI</v>
      </c>
      <c r="O80" s="1527" t="str">
        <f t="shared" si="37"/>
        <v>0.00%</v>
      </c>
      <c r="P80" s="2">
        <f t="shared" si="42"/>
        <v>0</v>
      </c>
      <c r="Q80" s="1240" t="str">
        <f>TEXT('MYP Assumptions'!G72,"0.00%")&amp;", CPI"</f>
        <v>2.86%, CPI</v>
      </c>
      <c r="S80" s="83" t="str">
        <f t="shared" si="38"/>
        <v>0.00%</v>
      </c>
      <c r="T80" s="2">
        <f t="shared" si="43"/>
        <v>0</v>
      </c>
      <c r="U80" s="81" t="str">
        <f>TEXT('MYP Assumptions'!H72,"0.00%")&amp;", CPI"</f>
        <v>2.73%, CPI</v>
      </c>
      <c r="W80" s="83" t="str">
        <f t="shared" si="39"/>
        <v>0.00%</v>
      </c>
      <c r="X80" s="2">
        <f t="shared" si="44"/>
        <v>0</v>
      </c>
      <c r="Y80" s="81" t="str">
        <f>TEXT('MYP Assumptions'!I72,"0.00%")&amp;", CPI"</f>
        <v>2.73%, CPI</v>
      </c>
      <c r="AA80" s="83" t="str">
        <f t="shared" si="40"/>
        <v>0.00%</v>
      </c>
      <c r="AB80" s="2">
        <f t="shared" si="45"/>
        <v>0</v>
      </c>
      <c r="AC80" s="81" t="str">
        <f>TEXT('MYP Assumptions'!J72,"0.00%")&amp;", CPI"</f>
        <v>2.73%, CPI</v>
      </c>
    </row>
    <row r="81" spans="1:29" hidden="1" x14ac:dyDescent="0.25">
      <c r="A81" s="66"/>
      <c r="B81" s="1326" t="s">
        <v>1</v>
      </c>
      <c r="D81" s="2">
        <f>'RS 3010-ALL'!AF80</f>
        <v>0</v>
      </c>
      <c r="E81" s="1249"/>
      <c r="F81" s="2"/>
      <c r="G81" s="1527" t="str">
        <f t="shared" si="47"/>
        <v>0.00%</v>
      </c>
      <c r="H81" s="2">
        <f>ROUND(D81*(LEFT(I81,5)+1),0)</f>
        <v>0</v>
      </c>
      <c r="I81" s="1240" t="str">
        <f>TEXT('MYP Assumptions'!E72,"0.00%")&amp;", CPI"</f>
        <v>3.11%, CPI</v>
      </c>
      <c r="J81" s="66"/>
      <c r="K81" s="1527" t="str">
        <f t="shared" si="36"/>
        <v>0.00%</v>
      </c>
      <c r="L81" s="2">
        <f t="shared" si="41"/>
        <v>0</v>
      </c>
      <c r="M81" s="1240" t="str">
        <f>TEXT('MYP Assumptions'!F72,"0.00%")&amp;", CPI"</f>
        <v>3.19%, CPI</v>
      </c>
      <c r="O81" s="1527" t="str">
        <f t="shared" si="37"/>
        <v>0.00%</v>
      </c>
      <c r="P81" s="2">
        <f t="shared" si="42"/>
        <v>0</v>
      </c>
      <c r="Q81" s="1240" t="str">
        <f>TEXT('MYP Assumptions'!G72,"0.00%")&amp;", CPI"</f>
        <v>2.86%, CPI</v>
      </c>
      <c r="S81" s="83" t="str">
        <f t="shared" si="38"/>
        <v>0.00%</v>
      </c>
      <c r="T81" s="2">
        <f t="shared" si="43"/>
        <v>0</v>
      </c>
      <c r="U81" s="81" t="str">
        <f>TEXT('MYP Assumptions'!H72,"0.00%")&amp;", CPI"</f>
        <v>2.73%, CPI</v>
      </c>
      <c r="W81" s="83" t="str">
        <f t="shared" si="39"/>
        <v>0.00%</v>
      </c>
      <c r="X81" s="2">
        <f t="shared" si="44"/>
        <v>0</v>
      </c>
      <c r="Y81" s="81" t="str">
        <f>TEXT('MYP Assumptions'!I72,"0.00%")&amp;", CPI"</f>
        <v>2.73%, CPI</v>
      </c>
      <c r="AA81" s="83" t="str">
        <f t="shared" si="40"/>
        <v>0.00%</v>
      </c>
      <c r="AB81" s="2">
        <f t="shared" si="45"/>
        <v>0</v>
      </c>
      <c r="AC81" s="81" t="str">
        <f>TEXT('MYP Assumptions'!J72,"0.00%")&amp;", CPI"</f>
        <v>2.73%, CPI</v>
      </c>
    </row>
    <row r="82" spans="1:29" x14ac:dyDescent="0.25">
      <c r="A82" s="29"/>
      <c r="D82" s="8">
        <f>SUM(D69:D81)</f>
        <v>11500</v>
      </c>
      <c r="E82" s="1249"/>
      <c r="F82" s="2"/>
      <c r="G82" s="1527">
        <f t="shared" si="47"/>
        <v>0</v>
      </c>
      <c r="H82" s="8">
        <f>SUM(H69:H81)</f>
        <v>11500</v>
      </c>
      <c r="I82" s="1882">
        <f>+H82-D82</f>
        <v>0</v>
      </c>
      <c r="J82" s="29"/>
      <c r="K82" s="1527">
        <f t="shared" si="36"/>
        <v>4.3478260869565216E-2</v>
      </c>
      <c r="L82" s="8">
        <f>SUM(L69:L81)</f>
        <v>12000</v>
      </c>
      <c r="M82" s="1882">
        <f>+L82-H82</f>
        <v>500</v>
      </c>
      <c r="O82" s="1527">
        <f t="shared" si="37"/>
        <v>4.1666666666666664E-2</v>
      </c>
      <c r="P82" s="8">
        <f>SUM(P69:P81)</f>
        <v>12500</v>
      </c>
      <c r="Q82" s="1882">
        <f>+P82-L82</f>
        <v>500</v>
      </c>
      <c r="S82" s="83">
        <f t="shared" si="38"/>
        <v>2.7279999999999999E-2</v>
      </c>
      <c r="T82" s="8">
        <f>SUM(T69:T81)</f>
        <v>12841</v>
      </c>
      <c r="U82" s="73"/>
      <c r="W82" s="83">
        <f t="shared" si="39"/>
        <v>2.7334319757028269E-2</v>
      </c>
      <c r="X82" s="8">
        <f>SUM(X69:X81)</f>
        <v>13192</v>
      </c>
      <c r="Y82" s="73"/>
      <c r="AA82" s="83">
        <f t="shared" si="40"/>
        <v>2.7289266221952699E-2</v>
      </c>
      <c r="AB82" s="8">
        <f>SUM(AB69:AB81)</f>
        <v>13552</v>
      </c>
      <c r="AC82" s="73"/>
    </row>
    <row r="83" spans="1:29" x14ac:dyDescent="0.25">
      <c r="A83" s="66"/>
      <c r="B83" s="1323"/>
      <c r="E83" s="1249"/>
      <c r="F83" s="2"/>
      <c r="G83" s="1527"/>
      <c r="H83" s="2"/>
      <c r="I83" s="1257"/>
      <c r="J83" s="66"/>
      <c r="L83" s="2"/>
      <c r="M83" s="1335"/>
      <c r="Q83" s="1335"/>
      <c r="T83" s="2"/>
      <c r="U83" s="73"/>
      <c r="X83" s="2"/>
      <c r="Y83" s="73"/>
      <c r="AB83" s="2"/>
      <c r="AC83" s="73"/>
    </row>
    <row r="84" spans="1:29" x14ac:dyDescent="0.25">
      <c r="A84" s="66"/>
      <c r="E84" s="1249"/>
      <c r="F84" s="2"/>
      <c r="H84" s="2"/>
      <c r="I84" s="1257"/>
      <c r="J84" s="66"/>
      <c r="L84" s="2"/>
      <c r="M84" s="1335"/>
      <c r="Q84" s="1335"/>
      <c r="T84" s="2"/>
      <c r="U84" s="73"/>
      <c r="X84" s="2"/>
      <c r="Y84" s="73"/>
      <c r="AB84" s="2"/>
      <c r="AC84" s="73"/>
    </row>
    <row r="85" spans="1:29" x14ac:dyDescent="0.25">
      <c r="A85" s="29"/>
      <c r="B85" s="1323" t="s">
        <v>0</v>
      </c>
      <c r="D85" s="8">
        <f>SUM(D82,D66,D55,D13)</f>
        <v>23528.3</v>
      </c>
      <c r="E85" s="1249"/>
      <c r="F85" s="2"/>
      <c r="G85" s="1527">
        <f>IF(D85=0,"0.00%",(H85-D85)/D85)</f>
        <v>-4.2217244764815108E-2</v>
      </c>
      <c r="H85" s="8">
        <f>SUM(H82,H66,H55,H13)</f>
        <v>22535</v>
      </c>
      <c r="I85" s="1882">
        <f>+H85-D85</f>
        <v>-993.29999999999927</v>
      </c>
      <c r="J85" s="29"/>
      <c r="K85" s="1527">
        <f>IF(H85=0,"0.00%",(L85-H85)/H85)</f>
        <v>0</v>
      </c>
      <c r="L85" s="8">
        <f>SUM(L82,L66,L55,L13)</f>
        <v>22535</v>
      </c>
      <c r="M85" s="1882">
        <f>+L85-H85</f>
        <v>0</v>
      </c>
      <c r="O85" s="1527">
        <f>IF(L85=0,"0.00%",(P85-L85)/L85)</f>
        <v>0</v>
      </c>
      <c r="P85" s="8">
        <f>SUM(P82,P66,P55,P13)</f>
        <v>22535</v>
      </c>
      <c r="Q85" s="1882">
        <f>+P85-L85</f>
        <v>0</v>
      </c>
      <c r="S85" s="83">
        <f>IF(P85=0,"0.00%",(T85-P85)/P85)</f>
        <v>-1.6374528511204793E-2</v>
      </c>
      <c r="T85" s="8">
        <f>SUM(T82,T66,T55,T13)</f>
        <v>22166</v>
      </c>
      <c r="U85" s="73"/>
      <c r="W85" s="83">
        <f>IF(T85=0,"0.00%",(X85-T85)/T85)</f>
        <v>2.7339168095281061E-2</v>
      </c>
      <c r="X85" s="8">
        <f>SUM(X82,X66,X55,X13)</f>
        <v>22772</v>
      </c>
      <c r="Y85" s="73"/>
      <c r="AA85" s="83">
        <f>IF(X85=0,"0.00%",(AB85-X85)/X85)</f>
        <v>2.7314245564728615E-2</v>
      </c>
      <c r="AB85" s="8">
        <f>SUM(AB82,AB66,AB55,AB13)</f>
        <v>23394</v>
      </c>
      <c r="AC85" s="73"/>
    </row>
    <row r="86" spans="1:29" x14ac:dyDescent="0.25">
      <c r="A86" s="66"/>
      <c r="E86" s="1249"/>
      <c r="F86" s="2"/>
      <c r="H86" s="2"/>
      <c r="I86" s="1257"/>
      <c r="J86" s="66"/>
      <c r="L86" s="2"/>
      <c r="M86" s="1335"/>
      <c r="Q86" s="1335"/>
      <c r="T86" s="2"/>
      <c r="U86" s="73"/>
      <c r="X86" s="2"/>
      <c r="Y86" s="73"/>
      <c r="AB86" s="2"/>
      <c r="AC86" s="73"/>
    </row>
    <row r="87" spans="1:29" x14ac:dyDescent="0.25">
      <c r="A87" s="66"/>
      <c r="B87" s="1323" t="s">
        <v>138</v>
      </c>
      <c r="D87" s="3">
        <f>D11-D85</f>
        <v>0</v>
      </c>
      <c r="G87" s="1527" t="str">
        <f>IF(D87=0,"0.00%",(H87-D87)/D87)</f>
        <v>0.00%</v>
      </c>
      <c r="H87" s="3">
        <f>H11-H85</f>
        <v>0</v>
      </c>
      <c r="I87" s="1257"/>
      <c r="J87" s="66"/>
      <c r="K87" s="1527" t="str">
        <f>IF(H87=0,"0.00%",(L87-H87)/H87)</f>
        <v>0.00%</v>
      </c>
      <c r="L87" s="3">
        <f>L11-L85</f>
        <v>0</v>
      </c>
      <c r="M87" s="1335"/>
      <c r="O87" s="1527" t="str">
        <f>IF(L87=0,"0.00%",(P87-L87)/L87)</f>
        <v>0.00%</v>
      </c>
      <c r="P87" s="3">
        <f>P11-P85</f>
        <v>0</v>
      </c>
      <c r="Q87" s="1335"/>
      <c r="S87" s="83" t="str">
        <f>IF(P87=0,"0.00%",(T87-P87)/P87)</f>
        <v>0.00%</v>
      </c>
      <c r="T87" s="3">
        <f>T11-T85</f>
        <v>-22166</v>
      </c>
      <c r="U87" s="73"/>
      <c r="W87" s="83">
        <f>IF(T87=0,"0.00%",(X87-T87)/T87)</f>
        <v>2.7339168095281061E-2</v>
      </c>
      <c r="X87" s="3">
        <f>X11-X85</f>
        <v>-22772</v>
      </c>
      <c r="Y87" s="73"/>
      <c r="AA87" s="83">
        <f>IF(X87=0,"0.00%",(AB87-X87)/X87)</f>
        <v>2.7314245564728615E-2</v>
      </c>
      <c r="AB87" s="3">
        <f>AB11-AB85</f>
        <v>-23394</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0</v>
      </c>
      <c r="G89" s="1527" t="str">
        <f>IF(D89=0,"0.00%",(H89-D89)/D89)</f>
        <v>0.00%</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-22166</v>
      </c>
      <c r="U89" s="73"/>
      <c r="W89" s="83">
        <f>IF(T89=0,"0.00%",(X89-T89)/T89)</f>
        <v>1.027339168095281</v>
      </c>
      <c r="X89" s="49">
        <f>X7+X87</f>
        <v>-44938</v>
      </c>
      <c r="Y89" s="73"/>
      <c r="AA89" s="83">
        <f>IF(X89=0,"0.00%",(AB89-X89)/X89)</f>
        <v>0.5205839156170724</v>
      </c>
      <c r="AB89" s="49">
        <f>AB7+AB87</f>
        <v>-68332</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32"/>
      <c r="B95" s="1329"/>
      <c r="C95" s="1330" t="s">
        <v>226</v>
      </c>
      <c r="D95" s="135">
        <f>+D82+D66+D53+D41+D30</f>
        <v>23066.3</v>
      </c>
      <c r="E95" s="1251"/>
      <c r="G95" s="1541" t="s">
        <v>226</v>
      </c>
      <c r="H95" s="135">
        <f>+H82+H66+H53+H41+H30</f>
        <v>21577</v>
      </c>
      <c r="I95" s="1260"/>
      <c r="J95" s="136"/>
      <c r="K95" s="1541" t="s">
        <v>226</v>
      </c>
      <c r="L95" s="135">
        <f>+L82+L66+L53+L41+L30</f>
        <v>21577</v>
      </c>
      <c r="M95" s="1338"/>
      <c r="O95" s="1541" t="s">
        <v>226</v>
      </c>
      <c r="P95" s="135">
        <f>+P82+P66+P53+P41+P30</f>
        <v>21577</v>
      </c>
      <c r="Q95" s="1338"/>
      <c r="R95" s="140"/>
      <c r="S95" s="134" t="s">
        <v>226</v>
      </c>
      <c r="T95" s="135">
        <f>+T82+T66+T53+T41+T30</f>
        <v>22166</v>
      </c>
      <c r="U95" s="139"/>
      <c r="W95" s="134" t="s">
        <v>226</v>
      </c>
      <c r="X95" s="135">
        <f>+X82+X66+X53+X41+X30</f>
        <v>22772</v>
      </c>
      <c r="Y95" s="139"/>
      <c r="AA95" s="134" t="s">
        <v>226</v>
      </c>
      <c r="AB95" s="135">
        <f>+AB82+AB66+AB53+AB41+AB30</f>
        <v>23394</v>
      </c>
      <c r="AC95" s="139"/>
    </row>
    <row r="96" spans="1:29" s="138" customFormat="1" ht="11.25" x14ac:dyDescent="0.2">
      <c r="A96" s="141"/>
      <c r="B96" s="1329"/>
      <c r="C96" s="1331" t="s">
        <v>227</v>
      </c>
      <c r="D96" s="143">
        <f>+D13</f>
        <v>462</v>
      </c>
      <c r="E96" s="1252"/>
      <c r="F96" s="145"/>
      <c r="G96" s="1546" t="s">
        <v>227</v>
      </c>
      <c r="H96" s="143">
        <f>+H13</f>
        <v>958</v>
      </c>
      <c r="I96" s="1261"/>
      <c r="J96" s="144"/>
      <c r="K96" s="1546" t="s">
        <v>227</v>
      </c>
      <c r="L96" s="143">
        <f>+L13</f>
        <v>958</v>
      </c>
      <c r="M96" s="1338"/>
      <c r="O96" s="1546" t="s">
        <v>227</v>
      </c>
      <c r="P96" s="143">
        <f>+P13</f>
        <v>958</v>
      </c>
      <c r="Q96" s="1251"/>
      <c r="R96" s="140"/>
      <c r="S96" s="142" t="s">
        <v>227</v>
      </c>
      <c r="T96" s="143">
        <f>+T13</f>
        <v>0</v>
      </c>
      <c r="W96" s="142" t="s">
        <v>227</v>
      </c>
      <c r="X96" s="143">
        <f>+X13</f>
        <v>0</v>
      </c>
      <c r="AA96" s="142" t="s">
        <v>227</v>
      </c>
      <c r="AB96" s="143">
        <f>+AB13</f>
        <v>0</v>
      </c>
    </row>
    <row r="97" spans="1:29" s="138" customFormat="1" ht="11.25" x14ac:dyDescent="0.2">
      <c r="A97" s="141"/>
      <c r="B97" s="1329"/>
      <c r="C97" s="1331"/>
      <c r="D97" s="146">
        <f>+D95+D96</f>
        <v>23528.3</v>
      </c>
      <c r="E97" s="1252"/>
      <c r="F97" s="145"/>
      <c r="G97" s="1546"/>
      <c r="H97" s="146">
        <f>+H95+H96</f>
        <v>22535</v>
      </c>
      <c r="I97" s="1261"/>
      <c r="J97" s="144"/>
      <c r="K97" s="1546"/>
      <c r="L97" s="146">
        <f>+L95+L96</f>
        <v>22535</v>
      </c>
      <c r="M97" s="1251"/>
      <c r="O97" s="1546"/>
      <c r="P97" s="146">
        <f>+P95+P96</f>
        <v>22535</v>
      </c>
      <c r="Q97" s="1251"/>
      <c r="R97" s="140"/>
      <c r="S97" s="142"/>
      <c r="T97" s="146">
        <f>+T95+T96</f>
        <v>22166</v>
      </c>
      <c r="W97" s="142"/>
      <c r="X97" s="146">
        <f>+X95+X96</f>
        <v>22772</v>
      </c>
      <c r="AA97" s="142"/>
      <c r="AB97" s="146">
        <f>+AB95+AB96</f>
        <v>23394</v>
      </c>
    </row>
    <row r="98" spans="1:29" ht="15" customHeight="1" x14ac:dyDescent="0.25">
      <c r="A98" s="66"/>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9" x14ac:dyDescent="0.25">
      <c r="A99" s="66"/>
      <c r="B99" s="1332"/>
      <c r="C99" s="1332"/>
      <c r="D99" s="36"/>
      <c r="E99" s="1249"/>
      <c r="F99" s="2"/>
    </row>
    <row r="100" spans="1:29" s="46" customFormat="1" x14ac:dyDescent="0.25">
      <c r="A100" s="66"/>
      <c r="B100" s="1319"/>
      <c r="C100" s="1254"/>
      <c r="D100" s="25"/>
      <c r="E100" s="1249"/>
      <c r="F100" s="2"/>
      <c r="G100" s="1399"/>
      <c r="H100" s="123"/>
      <c r="I100" s="1254"/>
      <c r="J100" s="59"/>
      <c r="K100" s="1550"/>
      <c r="L100" s="124"/>
      <c r="M100" s="1243"/>
      <c r="N100" s="39"/>
      <c r="O100" s="1550"/>
      <c r="P100" s="2"/>
      <c r="Q100" s="1243"/>
      <c r="R100" s="109"/>
      <c r="S100" s="39"/>
      <c r="T100" s="39"/>
      <c r="U100" s="39"/>
      <c r="V100" s="39"/>
      <c r="W100" s="39"/>
      <c r="X100" s="39"/>
      <c r="Y100" s="39"/>
      <c r="Z100" s="39"/>
      <c r="AA100" s="39"/>
      <c r="AB100" s="39"/>
      <c r="AC100" s="39"/>
    </row>
    <row r="101" spans="1:29" s="46" customFormat="1" x14ac:dyDescent="0.25">
      <c r="A101" s="56"/>
      <c r="B101" s="1319"/>
      <c r="C101" s="1254"/>
      <c r="D101" s="36"/>
      <c r="E101" s="1243"/>
      <c r="F101" s="39"/>
      <c r="G101" s="1399"/>
      <c r="H101" s="123"/>
      <c r="I101" s="1254"/>
      <c r="J101" s="59"/>
      <c r="K101" s="1550"/>
      <c r="L101" s="124"/>
      <c r="M101" s="1243"/>
      <c r="N101" s="39"/>
      <c r="O101" s="1550"/>
      <c r="P101" s="2"/>
      <c r="Q101" s="1243"/>
      <c r="R101" s="109"/>
      <c r="S101" s="39"/>
      <c r="T101" s="39"/>
      <c r="U101" s="39"/>
      <c r="V101" s="39"/>
      <c r="W101" s="39"/>
      <c r="X101" s="39"/>
      <c r="Y101" s="39"/>
      <c r="Z101" s="39"/>
      <c r="AA101" s="39"/>
      <c r="AB101" s="39"/>
      <c r="AC101" s="39"/>
    </row>
    <row r="102" spans="1:29" s="46" customFormat="1" x14ac:dyDescent="0.25">
      <c r="A102" s="56"/>
      <c r="B102" s="1319"/>
      <c r="C102" s="1254"/>
      <c r="D102" s="36"/>
      <c r="E102" s="1243"/>
      <c r="F102" s="39"/>
      <c r="G102" s="1399"/>
      <c r="H102" s="123"/>
      <c r="I102" s="1254"/>
      <c r="J102" s="59"/>
      <c r="K102" s="1550"/>
      <c r="L102" s="124"/>
      <c r="M102" s="1243"/>
      <c r="N102" s="39"/>
      <c r="O102" s="1550"/>
      <c r="P102" s="2"/>
      <c r="Q102" s="1243"/>
      <c r="R102" s="109"/>
      <c r="S102" s="39"/>
      <c r="T102" s="39"/>
      <c r="U102" s="39"/>
      <c r="V102" s="39"/>
      <c r="W102" s="39"/>
      <c r="X102" s="39"/>
      <c r="Y102" s="39"/>
      <c r="Z102" s="39"/>
      <c r="AA102" s="39"/>
      <c r="AB102" s="39"/>
      <c r="AC102" s="39"/>
    </row>
    <row r="103" spans="1:29" s="46" customFormat="1" ht="15" customHeight="1" x14ac:dyDescent="0.25">
      <c r="A103" s="56"/>
      <c r="B103" s="1319"/>
      <c r="C103" s="1254"/>
      <c r="D103" s="36"/>
      <c r="E103" s="1243"/>
      <c r="F103" s="39"/>
      <c r="G103" s="1399"/>
      <c r="H103" s="123"/>
      <c r="I103" s="1254"/>
      <c r="J103" s="59"/>
      <c r="K103" s="1550"/>
      <c r="L103" s="124"/>
      <c r="M103" s="1243"/>
      <c r="N103" s="39"/>
      <c r="O103" s="1550"/>
      <c r="P103" s="2"/>
      <c r="Q103" s="1243"/>
      <c r="R103" s="109"/>
      <c r="S103" s="39"/>
      <c r="T103" s="39"/>
      <c r="U103" s="39"/>
      <c r="V103" s="39"/>
      <c r="W103" s="39"/>
      <c r="X103" s="39"/>
      <c r="Y103" s="39"/>
      <c r="Z103" s="39"/>
      <c r="AA103" s="39"/>
      <c r="AB103" s="39"/>
      <c r="AC103" s="39"/>
    </row>
    <row r="104" spans="1:29" s="46" customFormat="1" x14ac:dyDescent="0.25">
      <c r="A104" s="56"/>
      <c r="B104" s="1319"/>
      <c r="C104" s="1254"/>
      <c r="D104" s="36"/>
      <c r="E104" s="1243"/>
      <c r="F104" s="39"/>
      <c r="G104" s="1399"/>
      <c r="H104" s="123"/>
      <c r="I104" s="1254"/>
      <c r="J104" s="59"/>
      <c r="K104" s="1550"/>
      <c r="L104" s="124"/>
      <c r="M104" s="1243"/>
      <c r="N104" s="39"/>
      <c r="O104" s="1550"/>
      <c r="P104" s="2"/>
      <c r="Q104" s="1243"/>
      <c r="R104" s="109"/>
      <c r="S104" s="39"/>
      <c r="T104" s="39"/>
      <c r="U104" s="39"/>
      <c r="V104" s="39"/>
      <c r="W104" s="39"/>
      <c r="X104" s="39"/>
      <c r="Y104" s="39"/>
      <c r="Z104" s="39"/>
      <c r="AA104" s="39"/>
      <c r="AB104" s="39"/>
      <c r="AC104" s="39"/>
    </row>
    <row r="105" spans="1:29" s="46" customFormat="1" x14ac:dyDescent="0.25">
      <c r="A105" s="56"/>
      <c r="B105" s="1319"/>
      <c r="C105" s="1254"/>
      <c r="D105" s="36"/>
      <c r="E105" s="1243"/>
      <c r="F105" s="39"/>
      <c r="G105" s="1399"/>
      <c r="H105" s="123"/>
      <c r="I105" s="1254"/>
      <c r="J105" s="59"/>
      <c r="K105" s="1550"/>
      <c r="L105" s="124"/>
      <c r="M105" s="1243"/>
      <c r="N105" s="39"/>
      <c r="O105" s="1550"/>
      <c r="P105" s="2"/>
      <c r="Q105" s="1243"/>
      <c r="R105" s="109"/>
      <c r="S105" s="39"/>
      <c r="T105" s="39"/>
      <c r="U105" s="39"/>
      <c r="V105" s="39"/>
      <c r="W105" s="39"/>
      <c r="X105" s="39"/>
      <c r="Y105" s="39"/>
      <c r="Z105" s="39"/>
      <c r="AA105" s="39"/>
      <c r="AB105" s="39"/>
      <c r="AC105" s="39"/>
    </row>
    <row r="106" spans="1:29" s="46" customFormat="1" ht="15" customHeight="1" x14ac:dyDescent="0.25">
      <c r="A106" s="56"/>
      <c r="B106" s="2151"/>
      <c r="C106" s="2151"/>
      <c r="D106" s="36"/>
      <c r="E106" s="1243"/>
      <c r="F106" s="39"/>
      <c r="G106" s="1399"/>
      <c r="H106" s="123"/>
      <c r="I106" s="1254"/>
      <c r="J106" s="59"/>
      <c r="K106" s="1550"/>
      <c r="L106" s="124"/>
      <c r="M106" s="1243"/>
      <c r="N106" s="39"/>
      <c r="O106" s="1550"/>
      <c r="P106" s="2"/>
      <c r="Q106" s="1243"/>
      <c r="R106" s="109"/>
      <c r="S106" s="39"/>
      <c r="T106" s="39"/>
      <c r="U106" s="39"/>
      <c r="V106" s="39"/>
      <c r="W106" s="39"/>
      <c r="X106" s="39"/>
      <c r="Y106" s="39"/>
      <c r="Z106" s="39"/>
      <c r="AA106" s="39"/>
      <c r="AB106" s="39"/>
      <c r="AC106" s="39"/>
    </row>
    <row r="107" spans="1:29" s="46" customFormat="1" x14ac:dyDescent="0.25">
      <c r="A107" s="56"/>
      <c r="B107" s="2151"/>
      <c r="C107" s="2151"/>
      <c r="D107" s="36"/>
      <c r="E107" s="1243"/>
      <c r="F107" s="39"/>
      <c r="G107" s="1399"/>
      <c r="H107" s="123"/>
      <c r="I107" s="1254"/>
      <c r="J107" s="59"/>
      <c r="K107" s="1550"/>
      <c r="L107" s="124"/>
      <c r="M107" s="1243"/>
      <c r="N107" s="39"/>
      <c r="O107" s="1550"/>
      <c r="P107" s="2"/>
      <c r="Q107" s="1243"/>
      <c r="R107" s="109"/>
      <c r="S107" s="39"/>
      <c r="T107" s="39"/>
      <c r="U107" s="39"/>
      <c r="V107" s="39"/>
      <c r="W107" s="39"/>
      <c r="X107" s="39"/>
      <c r="Y107" s="39"/>
      <c r="Z107" s="39"/>
      <c r="AA107" s="39"/>
      <c r="AB107" s="39"/>
      <c r="AC107" s="39"/>
    </row>
    <row r="108" spans="1:29" s="46" customFormat="1" x14ac:dyDescent="0.25">
      <c r="A108" s="56"/>
      <c r="B108" s="1319"/>
      <c r="C108" s="1254"/>
      <c r="D108" s="6"/>
      <c r="E108" s="1243"/>
      <c r="F108" s="39"/>
      <c r="G108" s="1399"/>
      <c r="H108" s="123"/>
      <c r="I108" s="1254"/>
      <c r="J108" s="59"/>
      <c r="K108" s="1550"/>
      <c r="L108" s="124"/>
      <c r="M108" s="1243"/>
      <c r="N108" s="39"/>
      <c r="O108" s="1550"/>
      <c r="P108" s="2"/>
      <c r="Q108" s="1243"/>
      <c r="R108" s="109"/>
      <c r="S108" s="39"/>
      <c r="T108" s="39"/>
      <c r="U108" s="39"/>
      <c r="V108" s="39"/>
      <c r="W108" s="39"/>
      <c r="X108" s="39"/>
      <c r="Y108" s="39"/>
      <c r="Z108" s="39"/>
      <c r="AA108" s="39"/>
      <c r="AB108" s="39"/>
      <c r="AC108" s="39"/>
    </row>
    <row r="109" spans="1:29" s="46" customFormat="1" x14ac:dyDescent="0.25">
      <c r="A109" s="56"/>
      <c r="B109" s="1319"/>
      <c r="C109" s="1254"/>
      <c r="D109" s="36"/>
      <c r="E109" s="1243"/>
      <c r="F109" s="39"/>
      <c r="G109" s="1399"/>
      <c r="H109" s="123"/>
      <c r="I109" s="1254"/>
      <c r="J109" s="59"/>
      <c r="K109" s="1550"/>
      <c r="L109" s="124"/>
      <c r="M109" s="1243"/>
      <c r="N109" s="39"/>
      <c r="O109" s="1550"/>
      <c r="P109" s="2"/>
      <c r="Q109" s="1243"/>
      <c r="R109" s="109"/>
      <c r="S109" s="39"/>
      <c r="T109" s="39"/>
      <c r="U109" s="39"/>
      <c r="V109" s="39"/>
      <c r="W109" s="39"/>
      <c r="X109" s="39"/>
      <c r="Y109" s="39"/>
      <c r="Z109" s="39"/>
      <c r="AA109" s="39"/>
      <c r="AB109" s="39"/>
      <c r="AC109" s="39"/>
    </row>
    <row r="110" spans="1:29" s="46" customFormat="1" x14ac:dyDescent="0.25">
      <c r="A110" s="56"/>
      <c r="B110" s="1319"/>
      <c r="C110" s="1254"/>
      <c r="D110" s="36"/>
      <c r="E110" s="1243"/>
      <c r="F110" s="39"/>
      <c r="G110" s="1399"/>
      <c r="H110" s="123"/>
      <c r="I110" s="1254"/>
      <c r="J110" s="59"/>
      <c r="K110" s="1550"/>
      <c r="L110" s="124"/>
      <c r="M110" s="1243"/>
      <c r="N110" s="39"/>
      <c r="O110" s="1550"/>
      <c r="P110" s="2"/>
      <c r="Q110" s="1243"/>
      <c r="R110" s="109"/>
      <c r="S110" s="39"/>
      <c r="T110" s="39"/>
      <c r="U110" s="39"/>
      <c r="V110" s="39"/>
      <c r="W110" s="39"/>
      <c r="X110" s="39"/>
      <c r="Y110" s="39"/>
      <c r="Z110" s="39"/>
      <c r="AA110" s="39"/>
      <c r="AB110" s="39"/>
      <c r="AC110" s="39"/>
    </row>
    <row r="111" spans="1:29" s="46" customFormat="1" ht="28.5" customHeight="1" x14ac:dyDescent="0.25">
      <c r="A111" s="56"/>
      <c r="B111" s="1319"/>
      <c r="C111" s="1254"/>
      <c r="D111" s="25"/>
      <c r="E111" s="1243"/>
      <c r="F111" s="39"/>
      <c r="G111" s="1399"/>
      <c r="H111" s="123"/>
      <c r="I111" s="1254"/>
      <c r="J111" s="59"/>
      <c r="K111" s="1550"/>
      <c r="L111" s="124"/>
      <c r="M111" s="1243"/>
      <c r="N111" s="39"/>
      <c r="O111" s="1550"/>
      <c r="P111" s="2"/>
      <c r="Q111" s="1243"/>
      <c r="R111" s="109"/>
      <c r="S111" s="39"/>
      <c r="T111" s="39"/>
      <c r="U111" s="39"/>
      <c r="V111" s="39"/>
      <c r="W111" s="39"/>
      <c r="X111" s="39"/>
      <c r="Y111" s="39"/>
      <c r="Z111" s="39"/>
      <c r="AA111" s="39"/>
      <c r="AB111" s="39"/>
      <c r="AC111" s="39"/>
    </row>
    <row r="112" spans="1:29" s="46" customFormat="1" x14ac:dyDescent="0.25">
      <c r="A112" s="56"/>
      <c r="B112" s="1319"/>
      <c r="C112" s="1254"/>
      <c r="D112" s="36"/>
      <c r="E112" s="1243"/>
      <c r="F112" s="39"/>
      <c r="G112" s="1399"/>
      <c r="H112" s="123"/>
      <c r="I112" s="1254"/>
      <c r="J112" s="59"/>
      <c r="K112" s="1550"/>
      <c r="L112" s="124"/>
      <c r="M112" s="1243"/>
      <c r="N112" s="39"/>
      <c r="O112" s="1550"/>
      <c r="P112" s="2"/>
      <c r="Q112" s="1243"/>
      <c r="R112" s="109"/>
      <c r="S112" s="39"/>
      <c r="T112" s="39"/>
      <c r="U112" s="39"/>
      <c r="V112" s="39"/>
      <c r="W112" s="39"/>
      <c r="X112" s="39"/>
      <c r="Y112" s="39"/>
      <c r="Z112" s="39"/>
      <c r="AA112" s="39"/>
      <c r="AB112" s="39"/>
      <c r="AC112" s="39"/>
    </row>
    <row r="113" spans="1:29" s="46" customFormat="1" x14ac:dyDescent="0.25">
      <c r="A113" s="56"/>
      <c r="B113" s="1319"/>
      <c r="C113" s="1254"/>
      <c r="D113" s="36"/>
      <c r="E113" s="1243"/>
      <c r="F113" s="39"/>
      <c r="G113" s="1399"/>
      <c r="H113" s="123"/>
      <c r="I113" s="1254"/>
      <c r="J113" s="59"/>
      <c r="K113" s="1550"/>
      <c r="L113" s="124"/>
      <c r="M113" s="1243"/>
      <c r="N113" s="39"/>
      <c r="O113" s="1550"/>
      <c r="P113" s="2"/>
      <c r="Q113" s="1243"/>
      <c r="R113" s="109"/>
      <c r="S113" s="39"/>
      <c r="T113" s="39"/>
      <c r="U113" s="39"/>
      <c r="V113" s="39"/>
      <c r="W113" s="39"/>
      <c r="X113" s="39"/>
      <c r="Y113" s="39"/>
      <c r="Z113" s="39"/>
      <c r="AA113" s="39"/>
      <c r="AB113" s="39"/>
      <c r="AC113" s="39"/>
    </row>
    <row r="114" spans="1:29" s="46" customFormat="1" x14ac:dyDescent="0.25">
      <c r="A114" s="56"/>
      <c r="B114" s="1319"/>
      <c r="C114" s="1254"/>
      <c r="D114" s="36"/>
      <c r="E114" s="1243"/>
      <c r="F114" s="39"/>
      <c r="G114" s="1399"/>
      <c r="H114" s="123"/>
      <c r="I114" s="1254"/>
      <c r="J114" s="59"/>
      <c r="K114" s="1550"/>
      <c r="L114" s="124"/>
      <c r="M114" s="1243"/>
      <c r="N114" s="39"/>
      <c r="O114" s="1550"/>
      <c r="P114" s="2"/>
      <c r="Q114" s="1243"/>
      <c r="R114" s="109"/>
      <c r="S114" s="39"/>
      <c r="T114" s="39"/>
      <c r="U114" s="39"/>
      <c r="V114" s="39"/>
      <c r="W114" s="39"/>
      <c r="X114" s="39"/>
      <c r="Y114" s="39"/>
      <c r="Z114" s="39"/>
      <c r="AA114" s="39"/>
      <c r="AB114" s="39"/>
      <c r="AC114" s="39"/>
    </row>
    <row r="115" spans="1:29" s="46" customFormat="1" x14ac:dyDescent="0.25">
      <c r="A115" s="56"/>
      <c r="B115" s="1319"/>
      <c r="C115" s="1254"/>
      <c r="D115" s="36"/>
      <c r="E115" s="1243"/>
      <c r="F115" s="39"/>
      <c r="G115" s="1399"/>
      <c r="H115" s="123"/>
      <c r="I115" s="1254"/>
      <c r="J115" s="59"/>
      <c r="K115" s="1550"/>
      <c r="L115" s="124"/>
      <c r="M115" s="1243"/>
      <c r="N115" s="39"/>
      <c r="O115" s="1550"/>
      <c r="P115" s="2"/>
      <c r="Q115" s="1243"/>
      <c r="R115" s="109"/>
      <c r="S115" s="39"/>
      <c r="T115" s="39"/>
      <c r="U115" s="39"/>
      <c r="V115" s="39"/>
      <c r="W115" s="39"/>
      <c r="X115" s="39"/>
      <c r="Y115" s="39"/>
      <c r="Z115" s="39"/>
      <c r="AA115" s="39"/>
      <c r="AB115" s="39"/>
      <c r="AC115" s="39"/>
    </row>
    <row r="116" spans="1:29" x14ac:dyDescent="0.25">
      <c r="B116" s="1319"/>
      <c r="C116" s="1254"/>
      <c r="D116" s="36"/>
    </row>
    <row r="117" spans="1:29" x14ac:dyDescent="0.25">
      <c r="B117" s="1319"/>
      <c r="C117" s="1254"/>
      <c r="D117" s="36"/>
    </row>
    <row r="118" spans="1:29" x14ac:dyDescent="0.25">
      <c r="B118" s="1319"/>
      <c r="C118" s="1254"/>
      <c r="D118" s="36"/>
    </row>
    <row r="119" spans="1:29" x14ac:dyDescent="0.25">
      <c r="B119" s="1319"/>
      <c r="C119" s="1254"/>
      <c r="D119" s="36"/>
    </row>
    <row r="120" spans="1:29" x14ac:dyDescent="0.25">
      <c r="B120" s="1319"/>
      <c r="C120" s="1254"/>
      <c r="D120" s="36"/>
    </row>
    <row r="121" spans="1:29" x14ac:dyDescent="0.25">
      <c r="B121" s="1319"/>
      <c r="C121" s="1254"/>
      <c r="D121" s="36"/>
    </row>
    <row r="122" spans="1:29" x14ac:dyDescent="0.25">
      <c r="B122" s="1319"/>
      <c r="C122" s="1254"/>
      <c r="D122" s="36"/>
    </row>
    <row r="123" spans="1:29" x14ac:dyDescent="0.25">
      <c r="B123" s="1319"/>
      <c r="C123" s="1254"/>
      <c r="D123" s="36"/>
    </row>
    <row r="124" spans="1:29" x14ac:dyDescent="0.25">
      <c r="B124" s="1319"/>
      <c r="C124" s="1254"/>
      <c r="D124" s="36"/>
    </row>
    <row r="125" spans="1:29" x14ac:dyDescent="0.25">
      <c r="B125" s="1319"/>
      <c r="C125" s="1254"/>
      <c r="D125" s="36"/>
    </row>
    <row r="126" spans="1:29" x14ac:dyDescent="0.25">
      <c r="B126" s="1319"/>
      <c r="C126" s="1254"/>
      <c r="D126" s="36"/>
    </row>
  </sheetData>
  <mergeCells count="1">
    <mergeCell ref="B106:C107"/>
  </mergeCells>
  <pageMargins left="0.25" right="0.25" top="0.5" bottom="0.5" header="0.25" footer="0.25"/>
  <pageSetup paperSize="5" scale="74" orientation="portrait" r:id="rId1"/>
  <headerFooter>
    <oddHeader>&amp;L&amp;F</oddHeader>
    <oddFooter>&amp;R&amp;A</oddFooter>
  </headerFooter>
  <ignoredErrors>
    <ignoredError sqref="B62:B8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30"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56" customWidth="1"/>
    <col min="2" max="2" width="8.5703125" style="1317" customWidth="1"/>
    <col min="3" max="3" width="18.28515625" style="1243" customWidth="1"/>
    <col min="4" max="4" width="16" style="2" customWidth="1"/>
    <col min="5" max="5" width="17.5703125" style="1243"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8.7109375" style="1550" bestFit="1"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7.85546875" style="1243" bestFit="1" customWidth="1"/>
    <col min="18" max="18" width="5.7109375" style="109" customWidth="1"/>
    <col min="19" max="19" width="1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182</v>
      </c>
      <c r="D1" s="1481"/>
      <c r="E1" s="1241"/>
      <c r="F1" s="98"/>
      <c r="G1" s="75"/>
      <c r="H1" s="1482"/>
      <c r="I1" s="1241"/>
      <c r="K1" s="81"/>
      <c r="L1" s="123"/>
      <c r="M1" s="1241"/>
      <c r="N1" s="51"/>
      <c r="O1" s="81"/>
      <c r="P1" s="123"/>
      <c r="Q1" s="1241"/>
      <c r="T1" s="86">
        <f>P1</f>
        <v>0</v>
      </c>
      <c r="U1" s="98"/>
      <c r="X1" s="86">
        <f>T1</f>
        <v>0</v>
      </c>
      <c r="Y1" s="98"/>
      <c r="AB1" s="86">
        <f>X1</f>
        <v>0</v>
      </c>
      <c r="AC1" s="98"/>
    </row>
    <row r="2" spans="1:29" ht="17.25" x14ac:dyDescent="0.4">
      <c r="B2" s="1319" t="s">
        <v>59</v>
      </c>
      <c r="C2" s="1320">
        <v>4203</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D4" s="36"/>
      <c r="E4" s="1254"/>
      <c r="F4" s="51"/>
      <c r="G4" s="1540"/>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8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H7" s="2">
        <f>D89</f>
        <v>0</v>
      </c>
      <c r="I7" s="1243"/>
      <c r="J7" s="60"/>
      <c r="L7" s="2">
        <f>H89</f>
        <v>0</v>
      </c>
      <c r="P7" s="2">
        <f>L89</f>
        <v>0</v>
      </c>
      <c r="T7" s="2">
        <f>P89</f>
        <v>0</v>
      </c>
      <c r="X7" s="2">
        <f>T89</f>
        <v>-1138</v>
      </c>
      <c r="AB7" s="2">
        <f>X89</f>
        <v>-5336</v>
      </c>
    </row>
    <row r="8" spans="1:29" x14ac:dyDescent="0.25">
      <c r="H8" s="2"/>
      <c r="I8" s="1243"/>
      <c r="L8" s="2"/>
    </row>
    <row r="9" spans="1:29" x14ac:dyDescent="0.25">
      <c r="B9" s="1317" t="s">
        <v>52</v>
      </c>
      <c r="C9" s="1243" t="s">
        <v>53</v>
      </c>
      <c r="D9" s="2">
        <v>112791</v>
      </c>
      <c r="G9" s="1527">
        <f>IF(D9=0,"0.00%",(H9-D9)/D9)</f>
        <v>-2.7316009256057663E-2</v>
      </c>
      <c r="H9" s="3">
        <v>109710</v>
      </c>
      <c r="I9" s="1243" t="s">
        <v>174</v>
      </c>
      <c r="J9" s="61"/>
      <c r="K9" s="1527">
        <f>IF(H9=0,"0.00%",(L9-H9)/H9)</f>
        <v>0</v>
      </c>
      <c r="L9" s="3">
        <f>H9</f>
        <v>109710</v>
      </c>
      <c r="M9" s="1243" t="s">
        <v>174</v>
      </c>
      <c r="O9" s="1527">
        <f>IF(L9=0,"0.00%",(P9-L9)/L9)</f>
        <v>0</v>
      </c>
      <c r="P9" s="3">
        <f>L9</f>
        <v>109710</v>
      </c>
      <c r="Q9" s="1243" t="s">
        <v>174</v>
      </c>
      <c r="S9" s="83">
        <f>IF(P9=0,"0.00%",(T9-P9)/P9)</f>
        <v>0</v>
      </c>
      <c r="T9" s="3">
        <f>P9</f>
        <v>109710</v>
      </c>
      <c r="U9" s="39" t="s">
        <v>174</v>
      </c>
      <c r="W9" s="83">
        <f>IF(T9=0,"0.00%",(X9-T9)/T9)</f>
        <v>0</v>
      </c>
      <c r="X9" s="3">
        <f>T9</f>
        <v>109710</v>
      </c>
      <c r="Y9" s="39" t="s">
        <v>174</v>
      </c>
      <c r="AA9" s="83">
        <f>IF(X9=0,"0.00%",(AB9-X9)/X9)</f>
        <v>0</v>
      </c>
      <c r="AB9" s="3">
        <f>X9</f>
        <v>109710</v>
      </c>
      <c r="AC9" s="39" t="s">
        <v>174</v>
      </c>
    </row>
    <row r="10" spans="1:29" x14ac:dyDescent="0.25">
      <c r="C10" s="1243" t="s">
        <v>51</v>
      </c>
      <c r="D10" s="2">
        <v>37453.199999999997</v>
      </c>
      <c r="G10" s="1527">
        <f t="shared" ref="G10:G15" si="0">IF(D10=0,"0.00%",(H10-D10)/D10)</f>
        <v>-1</v>
      </c>
      <c r="H10" s="3">
        <v>0</v>
      </c>
      <c r="I10" s="1243"/>
      <c r="J10" s="61"/>
      <c r="K10" s="1527" t="str">
        <f>IF(H10=0,"0.00%",(L10-H10)/H10)</f>
        <v>0.00%</v>
      </c>
      <c r="L10" s="3">
        <f>-H2</f>
        <v>0</v>
      </c>
      <c r="O10" s="1527" t="str">
        <f>IF(L10=0,"0.00%",(P10-L10)/L10)</f>
        <v>0.00%</v>
      </c>
      <c r="P10" s="3">
        <f>-L2</f>
        <v>0</v>
      </c>
      <c r="S10" s="83" t="str">
        <f>IF(P10=0,"0.00%",(T10-P10)/P10)</f>
        <v>0.00%</v>
      </c>
      <c r="T10" s="3">
        <f>-P2</f>
        <v>0</v>
      </c>
      <c r="W10" s="83" t="str">
        <f>IF(T10=0,"0.00%",(X10-T10)/T10)</f>
        <v>0.00%</v>
      </c>
      <c r="X10" s="3">
        <f>-T2</f>
        <v>0</v>
      </c>
      <c r="AA10" s="83" t="str">
        <f>IF(X10=0,"0.00%",(AB10-X10)/X10)</f>
        <v>0.00%</v>
      </c>
      <c r="AB10" s="3">
        <f>-X2</f>
        <v>0</v>
      </c>
    </row>
    <row r="11" spans="1:29" x14ac:dyDescent="0.25">
      <c r="B11" s="1323" t="s">
        <v>137</v>
      </c>
      <c r="D11" s="8">
        <f>SUM(D9:D10)</f>
        <v>150244.20000000001</v>
      </c>
      <c r="G11" s="1527">
        <f t="shared" si="0"/>
        <v>-0.2697887838598762</v>
      </c>
      <c r="H11" s="8">
        <f>SUM(H9:H10)</f>
        <v>109710</v>
      </c>
      <c r="I11" s="1882">
        <f>+H11-D11</f>
        <v>-40534.200000000012</v>
      </c>
      <c r="J11" s="62"/>
      <c r="K11" s="1527">
        <f>IF(H11=0,"0.00%",(L11-H11)/H11)</f>
        <v>0</v>
      </c>
      <c r="L11" s="8">
        <f>SUM(L9:L10)</f>
        <v>109710</v>
      </c>
      <c r="M11" s="1882">
        <f>+L11-H11</f>
        <v>0</v>
      </c>
      <c r="O11" s="1527">
        <f>IF(L11=0,"0.00%",(P11-L11)/L11)</f>
        <v>0</v>
      </c>
      <c r="P11" s="8">
        <f>SUM(P9:P10)</f>
        <v>109710</v>
      </c>
      <c r="Q11" s="1882">
        <f>+P11-L11</f>
        <v>0</v>
      </c>
      <c r="S11" s="83">
        <f>IF(P11=0,"0.00%",(T11-P11)/P11)</f>
        <v>0</v>
      </c>
      <c r="T11" s="78">
        <f>SUM(T9:T10)</f>
        <v>109710</v>
      </c>
      <c r="W11" s="83">
        <f>IF(T11=0,"0.00%",(X11-T11)/T11)</f>
        <v>0</v>
      </c>
      <c r="X11" s="78">
        <f>SUM(X9:X10)</f>
        <v>109710</v>
      </c>
      <c r="AA11" s="83">
        <f>IF(X11=0,"0.00%",(AB11-X11)/X11)</f>
        <v>0</v>
      </c>
      <c r="AB11" s="78">
        <f>SUM(AB9:AB10)</f>
        <v>109710</v>
      </c>
    </row>
    <row r="12" spans="1:29" x14ac:dyDescent="0.25">
      <c r="H12" s="3"/>
      <c r="I12" s="1243"/>
      <c r="J12" s="63"/>
      <c r="K12" s="1399"/>
      <c r="L12" s="3"/>
      <c r="O12" s="1399"/>
      <c r="P12" s="3"/>
      <c r="S12" s="46"/>
      <c r="T12" s="44"/>
      <c r="W12" s="46"/>
      <c r="X12" s="44"/>
      <c r="AA12" s="46"/>
      <c r="AB12" s="44"/>
    </row>
    <row r="13" spans="1:29" x14ac:dyDescent="0.25">
      <c r="C13" s="1325" t="s">
        <v>64</v>
      </c>
      <c r="D13" s="9">
        <f>ROUND(D11-(D11/(1+E13)),0)</f>
        <v>2946</v>
      </c>
      <c r="E13" s="52">
        <v>0.02</v>
      </c>
      <c r="G13" s="1527">
        <f t="shared" si="0"/>
        <v>0.58316361167684994</v>
      </c>
      <c r="H13" s="9">
        <f>ROUND(H11-(H11/(1+I13)),0)</f>
        <v>4664</v>
      </c>
      <c r="I13" s="1243" t="s">
        <v>815</v>
      </c>
      <c r="J13" s="64"/>
      <c r="K13" s="1527">
        <f>IF(H13=0,"0.00%",(L13-H13)/H13)</f>
        <v>0</v>
      </c>
      <c r="L13" s="9">
        <f>ROUND(L11-(L11/(1+M13)),0)</f>
        <v>4664</v>
      </c>
      <c r="M13" s="1243" t="s">
        <v>815</v>
      </c>
      <c r="O13" s="1527">
        <f>IF(L13=0,"0.00%",(P13-L13)/L13)</f>
        <v>0</v>
      </c>
      <c r="P13" s="9">
        <f>ROUND(P11-(P11/(1+Q13)),0)</f>
        <v>4664</v>
      </c>
      <c r="Q13" s="1243" t="s">
        <v>815</v>
      </c>
      <c r="S13" s="83">
        <f>IF(P13=0,"0.00%",(T13-P13)/P13)</f>
        <v>-0.53880789022298459</v>
      </c>
      <c r="T13" s="77">
        <f>ROUND(T11-(T11/(1+E13)),0)</f>
        <v>2151</v>
      </c>
      <c r="W13" s="83">
        <f>IF(T13=0,"0.00%",(X13-T13)/T13)</f>
        <v>0</v>
      </c>
      <c r="X13" s="77">
        <f>ROUND(X11-(X11/(1+E13)),0)</f>
        <v>2151</v>
      </c>
      <c r="AA13" s="83">
        <f>IF(X13=0,"0.00%",(AB13-X13)/X13)</f>
        <v>17.787540678754066</v>
      </c>
      <c r="AB13" s="77">
        <f>ROUND(AB11-(AB11/(1+G13)),0)</f>
        <v>40412</v>
      </c>
    </row>
    <row r="14" spans="1:29" x14ac:dyDescent="0.25">
      <c r="H14" s="3"/>
      <c r="I14" s="1243"/>
      <c r="J14" s="63"/>
      <c r="K14" s="1399"/>
      <c r="L14" s="3"/>
      <c r="O14" s="1399"/>
      <c r="P14" s="3"/>
      <c r="S14" s="46"/>
      <c r="T14" s="44"/>
      <c r="W14" s="46"/>
      <c r="X14" s="44"/>
      <c r="AA14" s="46"/>
      <c r="AB14" s="44"/>
    </row>
    <row r="15" spans="1:29" x14ac:dyDescent="0.25">
      <c r="B15" s="1323" t="s">
        <v>50</v>
      </c>
      <c r="D15" s="10">
        <f>D11-D13</f>
        <v>147298.20000000001</v>
      </c>
      <c r="G15" s="1527">
        <f t="shared" si="0"/>
        <v>-0.28684804023402871</v>
      </c>
      <c r="H15" s="9">
        <f>H11-H13</f>
        <v>105046</v>
      </c>
      <c r="I15" s="1882">
        <f>+H15-D15</f>
        <v>-42252.200000000012</v>
      </c>
      <c r="J15" s="62"/>
      <c r="K15" s="1527">
        <f>IF(H15=0,"0.00%",(L15-H15)/H15)</f>
        <v>0</v>
      </c>
      <c r="L15" s="9">
        <f>L11-L13</f>
        <v>105046</v>
      </c>
      <c r="M15" s="1882">
        <f>+L15-H15</f>
        <v>0</v>
      </c>
      <c r="O15" s="1527">
        <f>IF(L15=0,"0.00%",(P15-L15)/L15)</f>
        <v>0</v>
      </c>
      <c r="P15" s="9">
        <f>P11-P13</f>
        <v>105046</v>
      </c>
      <c r="Q15" s="1882">
        <f>+P15-L15</f>
        <v>0</v>
      </c>
      <c r="S15" s="83">
        <f>IF(P15=0,"0.00%",(T15-P15)/P15)</f>
        <v>2.3922852845420103E-2</v>
      </c>
      <c r="T15" s="19">
        <f>T11-T13</f>
        <v>107559</v>
      </c>
      <c r="W15" s="83">
        <f>IF(T15=0,"0.00%",(X15-T15)/T15)</f>
        <v>0</v>
      </c>
      <c r="X15" s="19">
        <f>X11-X13</f>
        <v>107559</v>
      </c>
      <c r="AA15" s="83">
        <f>IF(X15=0,"0.00%",(AB15-X15)/X15)</f>
        <v>-0.3557210461235229</v>
      </c>
      <c r="AB15" s="19">
        <f>AB11-AB13</f>
        <v>69298</v>
      </c>
    </row>
    <row r="16" spans="1:29" x14ac:dyDescent="0.25">
      <c r="H16" s="3"/>
      <c r="I16" s="1243"/>
      <c r="J16" s="62"/>
      <c r="L16" s="3"/>
      <c r="P16" s="3"/>
      <c r="T16" s="49"/>
      <c r="X16" s="49"/>
      <c r="AB16" s="49"/>
    </row>
    <row r="17" spans="1:29" x14ac:dyDescent="0.25">
      <c r="C17" s="1317"/>
      <c r="H17" s="3"/>
      <c r="I17" s="1243"/>
      <c r="J17" s="63"/>
      <c r="L17" s="3"/>
      <c r="P17" s="3"/>
      <c r="T17" s="44"/>
      <c r="X17" s="44"/>
      <c r="AB17" s="44"/>
    </row>
    <row r="18" spans="1:29" x14ac:dyDescent="0.25">
      <c r="A18" s="32"/>
      <c r="D18" s="29" t="s">
        <v>874</v>
      </c>
      <c r="E18" s="1316"/>
      <c r="F18" s="32"/>
      <c r="H18" s="29" t="s">
        <v>177</v>
      </c>
      <c r="I18" s="1245"/>
      <c r="J18" s="65"/>
      <c r="M18" s="1245"/>
      <c r="Q18" s="1245"/>
      <c r="U18" s="32"/>
      <c r="Y18" s="32"/>
      <c r="AC18" s="32"/>
    </row>
    <row r="19" spans="1:29" ht="17.25" x14ac:dyDescent="0.4">
      <c r="A19" s="79"/>
      <c r="D19" s="35" t="s">
        <v>875</v>
      </c>
      <c r="E19" s="1246"/>
      <c r="F19" s="34"/>
      <c r="H19" s="35" t="s">
        <v>48</v>
      </c>
      <c r="I19" s="1397"/>
      <c r="J19" s="29"/>
      <c r="L19" s="14" t="s">
        <v>48</v>
      </c>
      <c r="M19" s="1397">
        <v>0.02</v>
      </c>
      <c r="P19" s="14" t="s">
        <v>48</v>
      </c>
      <c r="Q19" s="1397">
        <v>0.02</v>
      </c>
      <c r="T19" s="14" t="s">
        <v>48</v>
      </c>
      <c r="U19" s="104">
        <v>0.02</v>
      </c>
      <c r="X19" s="14" t="s">
        <v>48</v>
      </c>
      <c r="Y19" s="104">
        <v>0.02</v>
      </c>
      <c r="AB19" s="14" t="s">
        <v>48</v>
      </c>
      <c r="AC19" s="104">
        <v>0.02</v>
      </c>
    </row>
    <row r="20" spans="1:29" s="13" customFormat="1" x14ac:dyDescent="0.25">
      <c r="A20" s="58"/>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x14ac:dyDescent="0.25">
      <c r="A21" s="61"/>
      <c r="B21" s="1326" t="s">
        <v>37</v>
      </c>
      <c r="C21" s="1243" t="s">
        <v>36</v>
      </c>
      <c r="D21" s="2">
        <v>110424.2</v>
      </c>
      <c r="E21" s="1248" t="s">
        <v>763</v>
      </c>
      <c r="F21" s="2"/>
      <c r="G21" s="1527">
        <f t="shared" ref="G21:G30" si="1">IF(D21=0,"0.00%",(H21-D21)/D21)</f>
        <v>-0.30354940311996825</v>
      </c>
      <c r="H21" s="2">
        <v>76905</v>
      </c>
      <c r="I21" s="1240"/>
      <c r="J21" s="66"/>
      <c r="K21" s="1527">
        <f t="shared" ref="K21:K28" si="2">IF(H21=0,"0.00%",(L21-H21)/H21)</f>
        <v>1.999869969442819E-2</v>
      </c>
      <c r="L21" s="2">
        <f>ROUND(H21*(1+M19),0)</f>
        <v>78443</v>
      </c>
      <c r="M21" s="1257" t="str">
        <f>TEXT(M19,"0.0%")&amp;" = Est. S &amp; C"</f>
        <v>2.0% = Est. S &amp; C</v>
      </c>
      <c r="O21" s="1527">
        <f t="shared" ref="O21:O28" si="3">IF(L21=0,"0.00%",(P21-L21)/L21)</f>
        <v>2.0001784735412975E-2</v>
      </c>
      <c r="P21" s="2">
        <f>ROUND(L21*(1+Q19),0)</f>
        <v>80012</v>
      </c>
      <c r="Q21" s="1257" t="str">
        <f>TEXT(Q19,"0.0%")&amp;" = Est. S &amp; C"</f>
        <v>2.0% = Est. S &amp; C</v>
      </c>
      <c r="S21" s="83">
        <f t="shared" ref="S21:S28" si="4">IF(P21=0,"0.00%",(T21-P21)/P21)</f>
        <v>1.9997000449932509E-2</v>
      </c>
      <c r="T21" s="2">
        <f>ROUND(P21*(1+U19),0)</f>
        <v>81612</v>
      </c>
      <c r="U21" s="36" t="str">
        <f>TEXT(U19,"0.0%")&amp;" = Est. S &amp; C"</f>
        <v>2.0% = Est. S &amp; C</v>
      </c>
      <c r="W21" s="83">
        <f t="shared" ref="W21:W28" si="5">IF(T21=0,"0.00%",(X21-T21)/T21)</f>
        <v>1.9997059255991767E-2</v>
      </c>
      <c r="X21" s="2">
        <f>ROUND(T21*(1+Y19),0)</f>
        <v>83244</v>
      </c>
      <c r="Y21" s="36" t="str">
        <f>TEXT(Y19,"0.0%")&amp;" = Est. S &amp; C"</f>
        <v>2.0% = Est. S &amp; C</v>
      </c>
      <c r="AA21" s="83">
        <f t="shared" ref="AA21:AA28" si="6">IF(X21=0,"0.00%",(AB21-X21)/X21)</f>
        <v>2.0001441545336601E-2</v>
      </c>
      <c r="AB21" s="2">
        <f>ROUND(X21*(1+AC19),0)</f>
        <v>84909</v>
      </c>
      <c r="AC21" s="36" t="str">
        <f>TEXT(AC19,"0.0%")&amp;" = Est. S &amp; C"</f>
        <v>2.0% = Est. S &amp; C</v>
      </c>
    </row>
    <row r="22" spans="1:29" hidden="1" x14ac:dyDescent="0.25">
      <c r="A22" s="61"/>
      <c r="B22" s="1326"/>
      <c r="E22" s="1248"/>
      <c r="F22" s="2"/>
      <c r="G22" s="1527"/>
      <c r="H22" s="2"/>
      <c r="I22" s="1257"/>
      <c r="J22" s="66"/>
      <c r="K22" s="1527"/>
      <c r="L22" s="2"/>
      <c r="M22" s="1257"/>
      <c r="O22" s="1527"/>
      <c r="Q22" s="1257"/>
      <c r="S22" s="83"/>
      <c r="T22" s="2"/>
      <c r="U22" s="36"/>
      <c r="W22" s="83"/>
      <c r="X22" s="2"/>
      <c r="Y22" s="36"/>
      <c r="AA22" s="83"/>
      <c r="AB22" s="2"/>
      <c r="AC22" s="36"/>
    </row>
    <row r="23" spans="1:29" x14ac:dyDescent="0.25">
      <c r="A23" s="66"/>
      <c r="B23" s="1326"/>
      <c r="D23" s="2">
        <v>0</v>
      </c>
      <c r="E23" s="1248" t="s">
        <v>764</v>
      </c>
      <c r="F23" s="2"/>
      <c r="G23" s="1527" t="str">
        <f t="shared" si="1"/>
        <v>0.00%</v>
      </c>
      <c r="H23" s="108">
        <v>0</v>
      </c>
      <c r="I23" s="1346"/>
      <c r="J23" s="66"/>
      <c r="K23" s="1527" t="str">
        <f t="shared" si="2"/>
        <v>0.00%</v>
      </c>
      <c r="L23" s="1883">
        <v>-3595</v>
      </c>
      <c r="M23" s="1884" t="s">
        <v>762</v>
      </c>
      <c r="O23" s="1527">
        <f t="shared" si="3"/>
        <v>1.008066759388039</v>
      </c>
      <c r="P23" s="1883">
        <v>-7219</v>
      </c>
      <c r="Q23" s="1884" t="str">
        <f>+M23</f>
        <v>Inst. Coaches  to RS 3010</v>
      </c>
      <c r="S23" s="83">
        <f t="shared" si="4"/>
        <v>1.9947361130350463E-2</v>
      </c>
      <c r="T23" s="2">
        <f>ROUND(P23*(1+U19),0)</f>
        <v>-7363</v>
      </c>
      <c r="U23" s="36" t="str">
        <f>TEXT(U19,"0.0%")&amp;" = Est. S &amp; C"</f>
        <v>2.0% = Est. S &amp; C</v>
      </c>
      <c r="W23" s="83">
        <f t="shared" si="5"/>
        <v>1.996468830639685E-2</v>
      </c>
      <c r="X23" s="2">
        <f>ROUND(T23*(1+Y19),0)</f>
        <v>-7510</v>
      </c>
      <c r="Y23" s="36" t="str">
        <f>TEXT(Y19,"0.0%")&amp;" = Est. S &amp; C"</f>
        <v>2.0% = Est. S &amp; C</v>
      </c>
      <c r="AA23" s="83">
        <f t="shared" si="6"/>
        <v>1.9973368841544607E-2</v>
      </c>
      <c r="AB23" s="2">
        <f>ROUND(X23*(1+AC19),0)</f>
        <v>-7660</v>
      </c>
      <c r="AC23" s="36" t="str">
        <f>TEXT(AC19,"0.0%")&amp;" = Est. S &amp; C"</f>
        <v>2.0% = Est. S &amp; C</v>
      </c>
    </row>
    <row r="24" spans="1:29" hidden="1" x14ac:dyDescent="0.25">
      <c r="A24" s="66"/>
      <c r="B24" s="1326"/>
      <c r="D24" s="2">
        <v>0</v>
      </c>
      <c r="E24" s="1248"/>
      <c r="F24" s="2"/>
      <c r="G24" s="1527" t="str">
        <f t="shared" si="1"/>
        <v>0.00%</v>
      </c>
      <c r="H24" s="2">
        <v>0</v>
      </c>
      <c r="I24" s="1257" t="str">
        <f>TEXT($I$19,"0.0%")&amp;" = Est. S &amp; C"</f>
        <v>0.0% = Est. S &amp; C</v>
      </c>
      <c r="J24" s="66"/>
      <c r="K24" s="1527" t="str">
        <f t="shared" si="2"/>
        <v>0.00%</v>
      </c>
      <c r="L24" s="2">
        <f>ROUND(H24*(1+M19),0)</f>
        <v>0</v>
      </c>
      <c r="M24" s="1257" t="str">
        <f>TEXT(M19,"0.0%")&amp;" = Est. S &amp; C"</f>
        <v>2.0% = Est. S &amp; C</v>
      </c>
      <c r="O24" s="1527" t="str">
        <f t="shared" si="3"/>
        <v>0.00%</v>
      </c>
      <c r="P24" s="423">
        <f>ROUND(L24*(1+Q19),0)</f>
        <v>0</v>
      </c>
      <c r="Q24" s="1363"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66"/>
      <c r="B25" s="1326"/>
      <c r="D25" s="2">
        <v>0</v>
      </c>
      <c r="E25" s="1248"/>
      <c r="F25" s="2"/>
      <c r="G25" s="1527" t="str">
        <f t="shared" si="1"/>
        <v>0.00%</v>
      </c>
      <c r="H25" s="2">
        <f>ROUND(D25*(1+$I$19),0)</f>
        <v>0</v>
      </c>
      <c r="I25" s="1257" t="str">
        <f>TEXT($I$19,"0.0%")&amp;" = Est. S &amp; C"</f>
        <v>0.0% = Est. S &amp; C</v>
      </c>
      <c r="J25" s="66"/>
      <c r="K25" s="1527" t="str">
        <f t="shared" si="2"/>
        <v>0.00%</v>
      </c>
      <c r="L25" s="2">
        <f>ROUND(H25*(1+M19),0)</f>
        <v>0</v>
      </c>
      <c r="M25" s="1257" t="str">
        <f>TEXT(M19,"0.0%")&amp;" = Est. S &amp; C"</f>
        <v>2.0% = Est. S &amp; C</v>
      </c>
      <c r="O25" s="1527" t="str">
        <f t="shared" si="3"/>
        <v>0.00%</v>
      </c>
      <c r="P25" s="423">
        <f>ROUND(L25*(1+Q19),0)</f>
        <v>0</v>
      </c>
      <c r="Q25" s="1363"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66"/>
      <c r="B26" s="1326"/>
      <c r="D26" s="2">
        <v>0</v>
      </c>
      <c r="E26" s="1248"/>
      <c r="F26" s="2"/>
      <c r="G26" s="1527" t="str">
        <f t="shared" si="1"/>
        <v>0.00%</v>
      </c>
      <c r="H26" s="2">
        <f>ROUND(D26*(1+$I$19),0)</f>
        <v>0</v>
      </c>
      <c r="I26" s="1257" t="str">
        <f>TEXT($I$19,"0.0%")&amp;" = Est. S &amp; C"</f>
        <v>0.0% = Est. S &amp; C</v>
      </c>
      <c r="J26" s="66"/>
      <c r="K26" s="1527" t="str">
        <f t="shared" si="2"/>
        <v>0.00%</v>
      </c>
      <c r="L26" s="2">
        <f>ROUND(H26*(1+M19),0)</f>
        <v>0</v>
      </c>
      <c r="M26" s="1257" t="str">
        <f>TEXT(M19,"0.0%")&amp;" = Est. S &amp; C"</f>
        <v>2.0% = Est. S &amp; C</v>
      </c>
      <c r="O26" s="1527" t="str">
        <f t="shared" si="3"/>
        <v>0.00%</v>
      </c>
      <c r="P26" s="423">
        <f>ROUND(L26*(1+Q19),0)</f>
        <v>0</v>
      </c>
      <c r="Q26" s="1363"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66"/>
      <c r="B27" s="1326"/>
      <c r="D27" s="2">
        <v>0</v>
      </c>
      <c r="E27" s="1248"/>
      <c r="F27" s="2"/>
      <c r="G27" s="1527" t="str">
        <f t="shared" si="1"/>
        <v>0.00%</v>
      </c>
      <c r="H27" s="2">
        <f>ROUND(D27*(1+$I$19),0)</f>
        <v>0</v>
      </c>
      <c r="I27" s="1257" t="str">
        <f>TEXT($I$19,"0.0%")&amp;" = Est. S &amp; C"</f>
        <v>0.0% = Est. S &amp; C</v>
      </c>
      <c r="J27" s="66"/>
      <c r="K27" s="1527" t="str">
        <f t="shared" si="2"/>
        <v>0.00%</v>
      </c>
      <c r="L27" s="2">
        <f>ROUND(H27*(1+M19),0)</f>
        <v>0</v>
      </c>
      <c r="M27" s="1257" t="str">
        <f>TEXT(M19,"0.0%")&amp;" = Est. S &amp; C"</f>
        <v>2.0% = Est. S &amp; C</v>
      </c>
      <c r="O27" s="1527" t="str">
        <f t="shared" si="3"/>
        <v>0.00%</v>
      </c>
      <c r="P27" s="423">
        <f>ROUND(L27*(1+Q19),0)</f>
        <v>0</v>
      </c>
      <c r="Q27" s="1363"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66"/>
      <c r="B28" s="1326"/>
      <c r="D28" s="2">
        <v>0</v>
      </c>
      <c r="E28" s="1248"/>
      <c r="F28" s="2"/>
      <c r="G28" s="1527" t="str">
        <f t="shared" si="1"/>
        <v>0.00%</v>
      </c>
      <c r="H28" s="2">
        <f>ROUND(D28*(1+$I$19),0)</f>
        <v>0</v>
      </c>
      <c r="I28" s="1257" t="str">
        <f>TEXT($I$19,"0.0%")&amp;" = Est. S &amp; C"</f>
        <v>0.0% = Est. S &amp; C</v>
      </c>
      <c r="J28" s="66"/>
      <c r="K28" s="1527" t="str">
        <f t="shared" si="2"/>
        <v>0.00%</v>
      </c>
      <c r="L28" s="2">
        <f>ROUND(H28*(1+M19),0)</f>
        <v>0</v>
      </c>
      <c r="M28" s="1257" t="str">
        <f>TEXT(M19,"0.0%")&amp;" = Est. S &amp; C"</f>
        <v>2.0% = Est. S &amp; C</v>
      </c>
      <c r="O28" s="1527" t="str">
        <f t="shared" si="3"/>
        <v>0.00%</v>
      </c>
      <c r="P28" s="423">
        <f>ROUND(L28*(1+Q19),0)</f>
        <v>0</v>
      </c>
      <c r="Q28" s="1363" t="str">
        <f>TEXT(Q19,"0.0%")&amp;" = Est. S &amp; C"</f>
        <v>2.0% = Est. S &amp; C</v>
      </c>
      <c r="S28" s="83" t="str">
        <f t="shared" si="4"/>
        <v>0.00%</v>
      </c>
      <c r="T28" s="2">
        <f>ROUND(P28*(1+U19),0)</f>
        <v>0</v>
      </c>
      <c r="U28" s="36" t="str">
        <f>TEXT(U19,"0.0%")&amp;" = Est. S &amp; C"</f>
        <v>2.0% = Est. S &amp; C</v>
      </c>
      <c r="W28" s="83" t="str">
        <f t="shared" si="5"/>
        <v>0.00%</v>
      </c>
      <c r="X28" s="2">
        <f>ROUND(T28*(1+Y19),0)</f>
        <v>0</v>
      </c>
      <c r="Y28" s="36" t="str">
        <f>TEXT(Y19,"0.0%")&amp;" = Est. S &amp; C"</f>
        <v>2.0% = Est. S &amp; C</v>
      </c>
      <c r="AA28" s="83" t="str">
        <f t="shared" si="6"/>
        <v>0.00%</v>
      </c>
      <c r="AB28" s="2">
        <f>ROUND(X28*(1+AC19),0)</f>
        <v>0</v>
      </c>
      <c r="AC28" s="36" t="str">
        <f>TEXT(AC19,"0.0%")&amp;" = Est. S &amp; C"</f>
        <v>2.0% = Est. S &amp; C</v>
      </c>
    </row>
    <row r="29" spans="1:29" ht="6" hidden="1" customHeight="1" x14ac:dyDescent="0.25">
      <c r="A29" s="66"/>
      <c r="B29" s="1326"/>
      <c r="E29" s="1248"/>
      <c r="F29" s="2"/>
      <c r="G29" s="1527"/>
      <c r="H29" s="2"/>
      <c r="I29" s="1257"/>
      <c r="J29" s="66"/>
      <c r="L29" s="2"/>
      <c r="M29" s="1335"/>
      <c r="P29" s="423"/>
      <c r="Q29" s="1364"/>
      <c r="T29" s="2"/>
      <c r="U29" s="73"/>
      <c r="X29" s="2"/>
      <c r="Y29" s="73"/>
      <c r="AB29" s="2"/>
      <c r="AC29" s="73"/>
    </row>
    <row r="30" spans="1:29" x14ac:dyDescent="0.25">
      <c r="A30" s="29"/>
      <c r="B30" s="1326"/>
      <c r="D30" s="8">
        <f>SUM(D21:D29)</f>
        <v>110424.2</v>
      </c>
      <c r="E30" s="1248" t="s">
        <v>765</v>
      </c>
      <c r="F30" s="2"/>
      <c r="G30" s="1527">
        <f t="shared" si="1"/>
        <v>-0.30354940311996825</v>
      </c>
      <c r="H30" s="8">
        <f>SUM(H21:H29)</f>
        <v>76905</v>
      </c>
      <c r="I30" s="1882">
        <f>+H30-D30</f>
        <v>-33519.199999999997</v>
      </c>
      <c r="J30" s="29"/>
      <c r="K30" s="1527">
        <f>IF(H30=0,"0.00%",(L30-H30)/H30)</f>
        <v>-2.6747285612118848E-2</v>
      </c>
      <c r="L30" s="8">
        <f>SUM(L21:L29)</f>
        <v>74848</v>
      </c>
      <c r="M30" s="1882">
        <f>+L30-H30</f>
        <v>-2057</v>
      </c>
      <c r="O30" s="1527">
        <f>IF(L30=0,"0.00%",(P30-L30)/L30)</f>
        <v>-2.7455643437366395E-2</v>
      </c>
      <c r="P30" s="8">
        <f>SUM(P21:P29)</f>
        <v>72793</v>
      </c>
      <c r="Q30" s="1882">
        <f>+P30-L30</f>
        <v>-2055</v>
      </c>
      <c r="S30" s="83">
        <f>IF(P30=0,"0.00%",(T30-P30)/P30)</f>
        <v>2.00019232618521E-2</v>
      </c>
      <c r="T30" s="8">
        <f>SUM(T21:T29)</f>
        <v>74249</v>
      </c>
      <c r="U30" s="73"/>
      <c r="W30" s="83">
        <f>IF(T30=0,"0.00%",(X30-T30)/T30)</f>
        <v>2.0000269363897157E-2</v>
      </c>
      <c r="X30" s="8">
        <f>SUM(X21:X29)</f>
        <v>75734</v>
      </c>
      <c r="Y30" s="73"/>
      <c r="AA30" s="83">
        <f>IF(X30=0,"0.00%",(AB30-X30)/X30)</f>
        <v>2.0004225314918002E-2</v>
      </c>
      <c r="AB30" s="8">
        <f>SUM(AB21:AB29)</f>
        <v>77249</v>
      </c>
      <c r="AC30" s="73"/>
    </row>
    <row r="31" spans="1:29" x14ac:dyDescent="0.25">
      <c r="A31" s="66"/>
      <c r="E31" s="1249"/>
      <c r="F31" s="2"/>
      <c r="H31" s="2"/>
      <c r="I31" s="1240"/>
      <c r="J31" s="66"/>
      <c r="L31" s="2"/>
      <c r="M31" s="1336"/>
      <c r="P31" s="423"/>
      <c r="Q31" s="1365"/>
      <c r="T31" s="2"/>
      <c r="U31" s="73"/>
      <c r="X31" s="2"/>
      <c r="Y31" s="73"/>
      <c r="AB31" s="2"/>
      <c r="AC31" s="73"/>
    </row>
    <row r="32" spans="1:29" s="4" customFormat="1" x14ac:dyDescent="0.25">
      <c r="A32" s="58"/>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66"/>
      <c r="B33" s="1326"/>
      <c r="D33" s="2">
        <v>0</v>
      </c>
      <c r="E33" s="1249"/>
      <c r="F33" s="2"/>
      <c r="G33" s="1527" t="str">
        <f t="shared" ref="G33:G39" si="7">IF(D33=0,"0.00%",(H33-D33)/D33)</f>
        <v>0.00%</v>
      </c>
      <c r="H33" s="2">
        <f t="shared" ref="H33:H39" si="8">ROUND(D33*(1+$I$19),0)</f>
        <v>0</v>
      </c>
      <c r="I33" s="1257" t="str">
        <f t="shared" ref="I33:I39" si="9">TEXT($I$19,"0.0%")&amp;" = Est. S &amp; C"</f>
        <v>0.0% = Est. S &amp; C</v>
      </c>
      <c r="J33" s="66"/>
      <c r="K33" s="1527" t="str">
        <f t="shared" ref="K33:K39" si="10">IF(H33=0,"0.00%",(L33-H33)/H33)</f>
        <v>0.00%</v>
      </c>
      <c r="L33" s="2">
        <f>ROUND(H33*(1+M19),0)</f>
        <v>0</v>
      </c>
      <c r="M33" s="1257" t="str">
        <f>TEXT(M19,"0.0%")&amp;" = Est. S &amp; C"</f>
        <v>2.0% = Est. S &amp; C</v>
      </c>
      <c r="O33" s="1527" t="str">
        <f t="shared" ref="O33:O39" si="11">IF(L33=0,"0.00%",(P33-L33)/L33)</f>
        <v>0.00%</v>
      </c>
      <c r="P33" s="2">
        <f>ROUND(L33*(1+Q19),0)</f>
        <v>0</v>
      </c>
      <c r="Q33" s="1257" t="str">
        <f>TEXT(Q19,"0.0%")&amp;" = Est. S &amp; C"</f>
        <v>2.0% = Est. S &amp; C</v>
      </c>
      <c r="S33" s="83" t="str">
        <f t="shared" ref="S33:S39" si="12">IF(P33=0,"0.00%",(T33-P33)/P33)</f>
        <v>0.00%</v>
      </c>
      <c r="T33" s="2">
        <f>ROUND(P33*(1+U19),0)</f>
        <v>0</v>
      </c>
      <c r="U33" s="36" t="str">
        <f>TEXT(U19,"0.0%")&amp;" = Est. S &amp; C"</f>
        <v>2.0% = Est. S &amp; C</v>
      </c>
      <c r="W33" s="83" t="str">
        <f t="shared" ref="W33:W39" si="13">IF(T33=0,"0.00%",(X33-T33)/T33)</f>
        <v>0.00%</v>
      </c>
      <c r="X33" s="2">
        <f>ROUND(T33*(1+Y19),0)</f>
        <v>0</v>
      </c>
      <c r="Y33" s="36" t="str">
        <f>TEXT(Y19,"0.0%")&amp;" = Est. S &amp; C"</f>
        <v>2.0% = Est. S &amp; C</v>
      </c>
      <c r="AA33" s="83" t="str">
        <f t="shared" ref="AA33:AA39" si="14">IF(X33=0,"0.00%",(AB33-X33)/X33)</f>
        <v>0.00%</v>
      </c>
      <c r="AB33" s="2">
        <f>ROUND(X33*(1+AC19),0)</f>
        <v>0</v>
      </c>
      <c r="AC33" s="36" t="str">
        <f>TEXT(AC19,"0.0%")&amp;" = Est. S &amp; C"</f>
        <v>2.0% = Est. S &amp; C</v>
      </c>
    </row>
    <row r="34" spans="1:29" hidden="1" x14ac:dyDescent="0.25">
      <c r="A34" s="66"/>
      <c r="B34" s="1326"/>
      <c r="D34" s="2">
        <v>0</v>
      </c>
      <c r="E34" s="1249"/>
      <c r="F34" s="2"/>
      <c r="G34" s="1527" t="str">
        <f t="shared" si="7"/>
        <v>0.00%</v>
      </c>
      <c r="H34" s="2">
        <f t="shared" si="8"/>
        <v>0</v>
      </c>
      <c r="I34" s="1257" t="str">
        <f t="shared" si="9"/>
        <v>0.0% = Est. S &amp; C</v>
      </c>
      <c r="J34" s="66"/>
      <c r="K34" s="1527" t="str">
        <f t="shared" si="10"/>
        <v>0.00%</v>
      </c>
      <c r="L34" s="2">
        <f>ROUND(H34*(1+M19),0)</f>
        <v>0</v>
      </c>
      <c r="M34" s="1257" t="str">
        <f>TEXT(M19,"0.0%")&amp;" = Est. S &amp; C"</f>
        <v>2.0% = Est. S &amp; C</v>
      </c>
      <c r="O34" s="1527" t="str">
        <f t="shared" si="11"/>
        <v>0.00%</v>
      </c>
      <c r="P34" s="2">
        <f>ROUND(L34*(1+Q19),0)</f>
        <v>0</v>
      </c>
      <c r="Q34" s="1257" t="str">
        <f>TEXT(Q19,"0.0%")&amp;" = Est. S &amp; C"</f>
        <v>2.0% = Est. S &amp; C</v>
      </c>
      <c r="S34" s="83" t="str">
        <f t="shared" si="12"/>
        <v>0.00%</v>
      </c>
      <c r="T34" s="2">
        <f>ROUND(P34*(1+U19),0)</f>
        <v>0</v>
      </c>
      <c r="U34" s="36" t="str">
        <f>TEXT(U19,"0.0%")&amp;" = Est. S &amp; C"</f>
        <v>2.0% = Est. S &amp; C</v>
      </c>
      <c r="W34" s="83" t="str">
        <f t="shared" si="13"/>
        <v>0.00%</v>
      </c>
      <c r="X34" s="2">
        <f>ROUND(T34*(1+Y19),0)</f>
        <v>0</v>
      </c>
      <c r="Y34" s="36" t="str">
        <f>TEXT(Y19,"0.0%")&amp;" = Est. S &amp; C"</f>
        <v>2.0% = Est. S &amp; C</v>
      </c>
      <c r="AA34" s="83" t="str">
        <f t="shared" si="14"/>
        <v>0.00%</v>
      </c>
      <c r="AB34" s="2">
        <f>ROUND(X34*(1+AC19),0)</f>
        <v>0</v>
      </c>
      <c r="AC34" s="36" t="str">
        <f>TEXT(AC19,"0.0%")&amp;" = Est. S &amp; C"</f>
        <v>2.0% = Est. S &amp; C</v>
      </c>
    </row>
    <row r="35" spans="1:29" hidden="1" x14ac:dyDescent="0.25">
      <c r="A35" s="66"/>
      <c r="B35" s="1326"/>
      <c r="D35" s="2">
        <v>0</v>
      </c>
      <c r="E35" s="1249"/>
      <c r="F35" s="2"/>
      <c r="G35" s="1527" t="str">
        <f t="shared" si="7"/>
        <v>0.00%</v>
      </c>
      <c r="H35" s="2">
        <f t="shared" si="8"/>
        <v>0</v>
      </c>
      <c r="I35" s="1257" t="str">
        <f t="shared" si="9"/>
        <v>0.0% = Est. S &amp; C</v>
      </c>
      <c r="J35" s="66"/>
      <c r="K35" s="1527" t="str">
        <f t="shared" si="10"/>
        <v>0.00%</v>
      </c>
      <c r="L35" s="2">
        <f>ROUND(H35*(1+M19),0)</f>
        <v>0</v>
      </c>
      <c r="M35" s="1257" t="str">
        <f>TEXT(M19,"0.0%")&amp;" = Est. S &amp; C"</f>
        <v>2.0% = Est. S &amp; C</v>
      </c>
      <c r="O35" s="1527" t="str">
        <f t="shared" si="11"/>
        <v>0.00%</v>
      </c>
      <c r="P35" s="2">
        <f>ROUND(L35*(1+Q19),0)</f>
        <v>0</v>
      </c>
      <c r="Q35" s="1257" t="str">
        <f>TEXT(Q19,"0.0%")&amp;" = Est. S &amp; C"</f>
        <v>2.0%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hidden="1" x14ac:dyDescent="0.25">
      <c r="A36" s="66"/>
      <c r="B36" s="1326"/>
      <c r="D36" s="2">
        <v>0</v>
      </c>
      <c r="E36" s="1249"/>
      <c r="F36" s="2"/>
      <c r="G36" s="1527" t="str">
        <f t="shared" si="7"/>
        <v>0.00%</v>
      </c>
      <c r="H36" s="2">
        <f t="shared" si="8"/>
        <v>0</v>
      </c>
      <c r="I36" s="1257" t="str">
        <f t="shared" si="9"/>
        <v>0.0% = Est. S &amp; C</v>
      </c>
      <c r="J36" s="66"/>
      <c r="K36" s="1527" t="str">
        <f t="shared" si="10"/>
        <v>0.00%</v>
      </c>
      <c r="L36" s="2">
        <f>ROUND(H36*(1+M19),0)</f>
        <v>0</v>
      </c>
      <c r="M36" s="1257" t="str">
        <f>TEXT(M19,"0.0%")&amp;" = Est. S &amp; C"</f>
        <v>2.0% = Est. S &amp; C</v>
      </c>
      <c r="O36" s="1527" t="str">
        <f t="shared" si="11"/>
        <v>0.00%</v>
      </c>
      <c r="P36" s="2">
        <f>ROUND(L36*(1+Q19),0)</f>
        <v>0</v>
      </c>
      <c r="Q36" s="1257" t="str">
        <f>TEXT(Q19,"0.0%")&amp;" = Est. S &amp; C"</f>
        <v>2.0% = Est. S &amp; C</v>
      </c>
      <c r="S36" s="83" t="str">
        <f t="shared" si="12"/>
        <v>0.00%</v>
      </c>
      <c r="T36" s="2">
        <f>ROUND(P36*(1+U19),0)</f>
        <v>0</v>
      </c>
      <c r="U36" s="36" t="str">
        <f>TEXT(U19,"0.0%")&amp;" = Est. S &amp; C"</f>
        <v>2.0% = Est. S &amp; C</v>
      </c>
      <c r="W36" s="83" t="str">
        <f t="shared" si="13"/>
        <v>0.00%</v>
      </c>
      <c r="X36" s="2">
        <f>ROUND(T36*(1+Y19),0)</f>
        <v>0</v>
      </c>
      <c r="Y36" s="36" t="str">
        <f>TEXT(Y19,"0.0%")&amp;" = Est. S &amp; C"</f>
        <v>2.0% = Est. S &amp; C</v>
      </c>
      <c r="AA36" s="83" t="str">
        <f t="shared" si="14"/>
        <v>0.00%</v>
      </c>
      <c r="AB36" s="2">
        <f>ROUND(X36*(1+AC19),0)</f>
        <v>0</v>
      </c>
      <c r="AC36" s="36" t="str">
        <f>TEXT(AC19,"0.0%")&amp;" = Est. S &amp; C"</f>
        <v>2.0% = Est. S &amp; C</v>
      </c>
    </row>
    <row r="37" spans="1:29" hidden="1" x14ac:dyDescent="0.25">
      <c r="A37" s="66"/>
      <c r="B37" s="1326"/>
      <c r="D37" s="2">
        <v>0</v>
      </c>
      <c r="E37" s="1249"/>
      <c r="F37" s="2"/>
      <c r="G37" s="1527" t="str">
        <f t="shared" si="7"/>
        <v>0.00%</v>
      </c>
      <c r="H37" s="2">
        <f t="shared" si="8"/>
        <v>0</v>
      </c>
      <c r="I37" s="1257" t="str">
        <f t="shared" si="9"/>
        <v>0.0% = Est. S &amp; C</v>
      </c>
      <c r="J37" s="66"/>
      <c r="K37" s="1527" t="str">
        <f t="shared" si="10"/>
        <v>0.00%</v>
      </c>
      <c r="L37" s="2">
        <f>ROUND(H37*(1+M19),0)</f>
        <v>0</v>
      </c>
      <c r="M37" s="1257" t="str">
        <f>TEXT(M19,"0.0%")&amp;" = Est. S &amp; C"</f>
        <v>2.0% = Est. S &amp; C</v>
      </c>
      <c r="O37" s="1527" t="str">
        <f t="shared" si="11"/>
        <v>0.00%</v>
      </c>
      <c r="P37" s="2">
        <f>ROUND(L37*(1+Q19),0)</f>
        <v>0</v>
      </c>
      <c r="Q37" s="1257" t="str">
        <f>TEXT(Q19,"0.0%")&amp;" = Est. S &amp; C"</f>
        <v>2.0% = Est. S &amp; C</v>
      </c>
      <c r="S37" s="83" t="str">
        <f t="shared" si="12"/>
        <v>0.00%</v>
      </c>
      <c r="T37" s="2">
        <f>ROUND(P37*(1+U19),0)</f>
        <v>0</v>
      </c>
      <c r="U37" s="36" t="str">
        <f>TEXT(U19,"0.0%")&amp;" = Est. S &amp; C"</f>
        <v>2.0% = Est. S &amp; C</v>
      </c>
      <c r="W37" s="83" t="str">
        <f t="shared" si="13"/>
        <v>0.00%</v>
      </c>
      <c r="X37" s="2">
        <f>ROUND(T37*(1+Y19),0)</f>
        <v>0</v>
      </c>
      <c r="Y37" s="36" t="str">
        <f>TEXT(Y19,"0.0%")&amp;" = Est. S &amp; C"</f>
        <v>2.0% = Est. S &amp; C</v>
      </c>
      <c r="AA37" s="83" t="str">
        <f t="shared" si="14"/>
        <v>0.00%</v>
      </c>
      <c r="AB37" s="2">
        <f>ROUND(X37*(1+AC19),0)</f>
        <v>0</v>
      </c>
      <c r="AC37" s="36" t="str">
        <f>TEXT(AC19,"0.0%")&amp;" = Est. S &amp; C"</f>
        <v>2.0% = Est. S &amp; C</v>
      </c>
    </row>
    <row r="38" spans="1:29" hidden="1" x14ac:dyDescent="0.25">
      <c r="A38" s="66"/>
      <c r="B38" s="1326"/>
      <c r="D38" s="2">
        <v>0</v>
      </c>
      <c r="E38" s="1249"/>
      <c r="F38" s="2"/>
      <c r="G38" s="1527" t="str">
        <f t="shared" si="7"/>
        <v>0.00%</v>
      </c>
      <c r="H38" s="2">
        <f t="shared" si="8"/>
        <v>0</v>
      </c>
      <c r="I38" s="1257" t="str">
        <f t="shared" si="9"/>
        <v>0.0% = Est. S &amp; C</v>
      </c>
      <c r="J38" s="66"/>
      <c r="K38" s="1527" t="str">
        <f t="shared" si="10"/>
        <v>0.00%</v>
      </c>
      <c r="L38" s="2">
        <f>ROUND(H38*(1+M19),0)</f>
        <v>0</v>
      </c>
      <c r="M38" s="1257" t="str">
        <f>TEXT(M19,"0.0%")&amp;" = Est. S &amp; C"</f>
        <v>2.0% = Est. S &amp; C</v>
      </c>
      <c r="O38" s="1527" t="str">
        <f t="shared" si="11"/>
        <v>0.00%</v>
      </c>
      <c r="P38" s="2">
        <f>ROUND(L38*(1+Q19),0)</f>
        <v>0</v>
      </c>
      <c r="Q38" s="1257" t="str">
        <f>TEXT(Q19,"0.0%")&amp;" = Est. S &amp; C"</f>
        <v>2.0%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idden="1" x14ac:dyDescent="0.25">
      <c r="A39" s="66"/>
      <c r="B39" s="1326"/>
      <c r="D39" s="2">
        <v>0</v>
      </c>
      <c r="E39" s="1249"/>
      <c r="F39" s="2"/>
      <c r="G39" s="1527" t="str">
        <f t="shared" si="7"/>
        <v>0.00%</v>
      </c>
      <c r="H39" s="2">
        <f t="shared" si="8"/>
        <v>0</v>
      </c>
      <c r="I39" s="1257" t="str">
        <f t="shared" si="9"/>
        <v>0.0% = Est. S &amp; C</v>
      </c>
      <c r="J39" s="66"/>
      <c r="K39" s="1527" t="str">
        <f t="shared" si="10"/>
        <v>0.00%</v>
      </c>
      <c r="L39" s="2">
        <f>ROUND(H39*(1+M19),0)</f>
        <v>0</v>
      </c>
      <c r="M39" s="1257" t="str">
        <f>TEXT(M19,"0.0%")&amp;" = Est. S &amp; C"</f>
        <v>2.0% = Est. S &amp; C</v>
      </c>
      <c r="O39" s="1527" t="str">
        <f t="shared" si="11"/>
        <v>0.00%</v>
      </c>
      <c r="P39" s="2">
        <f>ROUND(L39*(1+Q19),0)</f>
        <v>0</v>
      </c>
      <c r="Q39" s="1257" t="str">
        <f>TEXT(Q19,"0.0%")&amp;" = Est. S &amp; C"</f>
        <v>2.0% = Est. S &amp; C</v>
      </c>
      <c r="S39" s="83" t="str">
        <f t="shared" si="12"/>
        <v>0.00%</v>
      </c>
      <c r="T39" s="2">
        <f>ROUND(P39*(1+U19),0)</f>
        <v>0</v>
      </c>
      <c r="U39" s="36" t="str">
        <f>TEXT(U19,"0.0%")&amp;" = Est. S &amp; C"</f>
        <v>2.0% = Est. S &amp; C</v>
      </c>
      <c r="W39" s="83" t="str">
        <f t="shared" si="13"/>
        <v>0.00%</v>
      </c>
      <c r="X39" s="2">
        <f>ROUND(T39*(1+Y19),0)</f>
        <v>0</v>
      </c>
      <c r="Y39" s="36" t="str">
        <f>TEXT(Y19,"0.0%")&amp;" = Est. S &amp; C"</f>
        <v>2.0% = Est. S &amp; C</v>
      </c>
      <c r="AA39" s="83" t="str">
        <f t="shared" si="14"/>
        <v>0.00%</v>
      </c>
      <c r="AB39" s="2">
        <f>ROUND(X39*(1+AC19),0)</f>
        <v>0</v>
      </c>
      <c r="AC39" s="36" t="str">
        <f>TEXT(AC19,"0.0%")&amp;" = Est. S &amp; C"</f>
        <v>2.0% = Est. S &amp; C</v>
      </c>
    </row>
    <row r="40" spans="1:29" ht="6" hidden="1" customHeight="1" x14ac:dyDescent="0.25">
      <c r="A40" s="66"/>
      <c r="B40" s="1326"/>
      <c r="E40" s="1249"/>
      <c r="F40" s="2"/>
      <c r="H40" s="2"/>
      <c r="I40" s="1257"/>
      <c r="J40" s="66"/>
      <c r="L40" s="2"/>
      <c r="M40" s="1335"/>
      <c r="Q40" s="1335"/>
      <c r="T40" s="2"/>
      <c r="U40" s="73"/>
      <c r="X40" s="2"/>
      <c r="Y40" s="73"/>
      <c r="AB40" s="2"/>
      <c r="AC40" s="73"/>
    </row>
    <row r="41" spans="1:29" x14ac:dyDescent="0.25">
      <c r="A41" s="29"/>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66"/>
      <c r="B42" s="1317" t="s">
        <v>28</v>
      </c>
      <c r="E42" s="1249"/>
      <c r="F42" s="2"/>
      <c r="H42" s="2"/>
      <c r="I42" s="1257"/>
      <c r="J42" s="66"/>
      <c r="L42" s="2"/>
      <c r="M42" s="1335"/>
      <c r="Q42" s="1335"/>
      <c r="T42" s="2"/>
      <c r="U42" s="73"/>
      <c r="X42" s="2"/>
      <c r="Y42" s="73"/>
      <c r="AB42" s="2"/>
      <c r="AC42" s="73"/>
    </row>
    <row r="43" spans="1:29" x14ac:dyDescent="0.25">
      <c r="A43" s="57"/>
      <c r="B43" s="1323" t="s">
        <v>27</v>
      </c>
      <c r="E43" s="1249"/>
      <c r="F43" s="2"/>
      <c r="H43" s="2"/>
      <c r="I43" s="1257"/>
      <c r="J43" s="66"/>
      <c r="L43" s="2"/>
      <c r="M43" s="1335"/>
      <c r="Q43" s="1335"/>
      <c r="T43" s="2"/>
      <c r="U43" s="73"/>
      <c r="X43" s="2"/>
      <c r="Y43" s="73"/>
      <c r="AB43" s="2"/>
      <c r="AC43" s="73"/>
    </row>
    <row r="44" spans="1:29" x14ac:dyDescent="0.25">
      <c r="A44" s="66"/>
      <c r="B44" s="1326" t="s">
        <v>83</v>
      </c>
      <c r="C44" s="1243" t="s">
        <v>76</v>
      </c>
      <c r="D44" s="2">
        <v>12806</v>
      </c>
      <c r="E44" s="1240" t="str">
        <f>TEXT('MYP Assumptions'!$D$52,"0.00%")&amp;", STRS rate"</f>
        <v>12.58%, STRS rate</v>
      </c>
      <c r="F44" s="2"/>
      <c r="G44" s="1527">
        <f t="shared" ref="G44:G53" si="15">IF(D44=0,"0.00%",(H44-D44)/D44)</f>
        <v>-0.13345306887396532</v>
      </c>
      <c r="H44" s="2">
        <f>ROUND(H30*LEFT(I44,6),0)</f>
        <v>11097</v>
      </c>
      <c r="I44" s="1240" t="str">
        <f>TEXT('MYP Assumptions'!E52,"0.00%")&amp;", projected STRS rate"</f>
        <v>14.43%, projected STRS rate</v>
      </c>
      <c r="J44" s="66"/>
      <c r="K44" s="1527">
        <f t="shared" ref="K44:K53" si="16">IF(H44=0,"0.00%",(L44-H44)/H44)</f>
        <v>9.8044516536000714E-2</v>
      </c>
      <c r="L44" s="2">
        <f>ROUND(L30*LEFT(M44,6),0)</f>
        <v>12185</v>
      </c>
      <c r="M44" s="1240" t="str">
        <f>TEXT('MYP Assumptions'!F52,"0.00%")&amp;", projected STRS rate"</f>
        <v>16.28%, projected STRS rate</v>
      </c>
      <c r="O44" s="1527">
        <f t="shared" ref="O44:O53" si="17">IF(L44=0,"0.00%",(P44-L44)/L44)</f>
        <v>8.3135002051702919E-2</v>
      </c>
      <c r="P44" s="2">
        <f>ROUND(P30*LEFT(Q44,6),0)+1</f>
        <v>13198</v>
      </c>
      <c r="Q44" s="1240" t="str">
        <f>TEXT('MYP Assumptions'!G52,"0.00%")&amp;", projected STRS rate"</f>
        <v>18.13%, projected STRS rate</v>
      </c>
      <c r="S44" s="83">
        <f t="shared" ref="S44:S53" si="18">IF(P44=0,"0.00%",(T44-P44)/P44)</f>
        <v>7.4556751022882256E-2</v>
      </c>
      <c r="T44" s="2">
        <f>ROUND(T30*LEFT(U44,6),0)</f>
        <v>14182</v>
      </c>
      <c r="U44" s="81" t="str">
        <f>TEXT('MYP Assumptions'!H52,"0.00%")&amp;", projected STRS rate"</f>
        <v>19.10%, projected STRS rate</v>
      </c>
      <c r="W44" s="83">
        <f t="shared" ref="W44:W53" si="19">IF(T44=0,"0.00%",(X44-T44)/T44)</f>
        <v>1.9954872373431111E-2</v>
      </c>
      <c r="X44" s="2">
        <f>ROUND(X30*LEFT(Y44,6),0)</f>
        <v>14465</v>
      </c>
      <c r="Y44" s="81" t="str">
        <f>TEXT('MYP Assumptions'!I52,"0.00%")&amp;", projected STRS rate"</f>
        <v>19.10%, projected STRS rate</v>
      </c>
      <c r="AA44" s="83">
        <f t="shared" ref="AA44:AA53" si="20">IF(X44=0,"0.00%",(AB44-X44)/X44)</f>
        <v>2.0048392671966817E-2</v>
      </c>
      <c r="AB44" s="2">
        <f>ROUND(AB30*LEFT(AC44,6),0)</f>
        <v>14755</v>
      </c>
      <c r="AC44" s="81" t="str">
        <f>TEXT('MYP Assumptions'!J52,"0.00%")&amp;", projected STRS rate"</f>
        <v>19.10%, projected STRS rate</v>
      </c>
    </row>
    <row r="45" spans="1:29" x14ac:dyDescent="0.25">
      <c r="A45" s="66"/>
      <c r="B45" s="1326" t="s">
        <v>84</v>
      </c>
      <c r="C45" s="1243" t="s">
        <v>77</v>
      </c>
      <c r="D45" s="2">
        <v>0</v>
      </c>
      <c r="E45" s="1240" t="str">
        <f>TEXT('MYP Assumptions'!$D$53,"0.00%")&amp;", PERS rate"</f>
        <v>13.89%, PERS rate</v>
      </c>
      <c r="F45" s="2"/>
      <c r="G45" s="1527" t="str">
        <f t="shared" si="15"/>
        <v>0.00%</v>
      </c>
      <c r="H45" s="2">
        <f>ROUND(H41*LEFT(I45,6),0)</f>
        <v>0</v>
      </c>
      <c r="I45" s="1240" t="str">
        <f>TEXT('MYP Assumptions'!E53,"0.000%")&amp;", projected PERS rate"</f>
        <v>15.531%, projected PERS rate</v>
      </c>
      <c r="J45" s="66"/>
      <c r="K45" s="1527" t="str">
        <f t="shared" si="16"/>
        <v>0.00%</v>
      </c>
      <c r="L45" s="2">
        <f>ROUND(L41*LEFT(M45,6),0)</f>
        <v>0</v>
      </c>
      <c r="M45" s="1240" t="str">
        <f>TEXT('MYP Assumptions'!F53,"0.00%")&amp;", projected PERS rate"</f>
        <v>18.10%, projected PERS rate</v>
      </c>
      <c r="O45" s="1527" t="str">
        <f t="shared" si="17"/>
        <v>0.00%</v>
      </c>
      <c r="P45" s="2">
        <f>ROUND(P41*LEFT(Q45,6),0)</f>
        <v>0</v>
      </c>
      <c r="Q45" s="1240" t="str">
        <f>TEXT('MYP Assumptions'!G53,"0.00%")&amp;", projected PERS rate"</f>
        <v>20.80%, projected PERS rate</v>
      </c>
      <c r="S45" s="83" t="str">
        <f t="shared" si="18"/>
        <v>0.00%</v>
      </c>
      <c r="T45" s="2">
        <f>ROUND(T41*LEFT(U45,6),0)</f>
        <v>0</v>
      </c>
      <c r="U45" s="81" t="str">
        <f>TEXT('MYP Assumptions'!H53,"0.00%")&amp;", projected PERS rate"</f>
        <v>23.80%, projected PERS rate</v>
      </c>
      <c r="W45" s="83" t="str">
        <f t="shared" si="19"/>
        <v>0.00%</v>
      </c>
      <c r="X45" s="2">
        <f>ROUND(X41*LEFT(Y45,6),0)</f>
        <v>0</v>
      </c>
      <c r="Y45" s="81" t="str">
        <f>TEXT('MYP Assumptions'!I53,"0.00%")&amp;", projected PERS rate"</f>
        <v>25.20%, projected PERS rate</v>
      </c>
      <c r="AA45" s="83" t="str">
        <f t="shared" si="20"/>
        <v>0.00%</v>
      </c>
      <c r="AB45" s="2">
        <f>ROUND(AB41*LEFT(AC45,6),0)</f>
        <v>0</v>
      </c>
      <c r="AC45" s="81" t="str">
        <f>TEXT('MYP Assumptions'!J53,"0.00%")&amp;", projected PERS rate"</f>
        <v>26.10%, projected PERS rate</v>
      </c>
    </row>
    <row r="46" spans="1:29" x14ac:dyDescent="0.25">
      <c r="A46" s="66"/>
      <c r="B46" s="1326" t="s">
        <v>85</v>
      </c>
      <c r="C46" s="1243" t="s">
        <v>78</v>
      </c>
      <c r="D46" s="2">
        <v>0</v>
      </c>
      <c r="E46" s="1240" t="str">
        <f>TEXT('MYP Assumptions'!$D$54,"0.00%")&amp;", SS rate"</f>
        <v>6.20%, SS rate</v>
      </c>
      <c r="F46" s="2"/>
      <c r="G46" s="1527" t="str">
        <f t="shared" si="15"/>
        <v>0.00%</v>
      </c>
      <c r="H46" s="2">
        <f>ROUND(H41*LEFT(I46,5),0)</f>
        <v>0</v>
      </c>
      <c r="I46" s="1240" t="str">
        <f>TEXT('MYP Assumptions'!E54,"0.00%")&amp;", no rate change"</f>
        <v>6.20%, no rate change</v>
      </c>
      <c r="J46" s="66"/>
      <c r="K46" s="1527" t="str">
        <f t="shared" si="16"/>
        <v>0.00%</v>
      </c>
      <c r="L46" s="2">
        <f>ROUND(L41*LEFT(M46,5),0)</f>
        <v>0</v>
      </c>
      <c r="M46" s="1240" t="str">
        <f>TEXT('MYP Assumptions'!F54,"0.00%")&amp;", no rate change"</f>
        <v>6.20%, no rate change</v>
      </c>
      <c r="O46" s="1527" t="str">
        <f t="shared" si="17"/>
        <v>0.00%</v>
      </c>
      <c r="P46" s="2">
        <f>ROUND(P41*LEFT(Q46,5),0)</f>
        <v>0</v>
      </c>
      <c r="Q46" s="1240" t="str">
        <f>TEXT('MYP Assumptions'!G54,"0.00%")&amp;", no rate change"</f>
        <v>6.20%, no rate change</v>
      </c>
      <c r="S46" s="83" t="str">
        <f t="shared" si="18"/>
        <v>0.00%</v>
      </c>
      <c r="T46" s="2">
        <f>ROUND(T41*LEFT(U46,5),0)</f>
        <v>0</v>
      </c>
      <c r="U46" s="81" t="str">
        <f>TEXT('MYP Assumptions'!H54,"0.00%")&amp;", no rate change"</f>
        <v>6.20%, no rate change</v>
      </c>
      <c r="W46" s="83" t="str">
        <f t="shared" si="19"/>
        <v>0.00%</v>
      </c>
      <c r="X46" s="2">
        <f>ROUND(X41*LEFT(Y46,5),0)</f>
        <v>0</v>
      </c>
      <c r="Y46" s="81" t="str">
        <f>TEXT('MYP Assumptions'!I54,"0.00%")&amp;", no rate change"</f>
        <v>6.20%, no rate change</v>
      </c>
      <c r="AA46" s="83" t="str">
        <f t="shared" si="20"/>
        <v>0.00%</v>
      </c>
      <c r="AB46" s="2">
        <f>ROUND(AB41*LEFT(AC46,5),0)</f>
        <v>0</v>
      </c>
      <c r="AC46" s="81" t="str">
        <f>TEXT('MYP Assumptions'!J54,"0.00%")&amp;", no rate change"</f>
        <v>6.20%, no rate change</v>
      </c>
    </row>
    <row r="47" spans="1:29" x14ac:dyDescent="0.25">
      <c r="A47" s="66"/>
      <c r="B47" s="1326" t="s">
        <v>86</v>
      </c>
      <c r="C47" s="1243" t="s">
        <v>79</v>
      </c>
      <c r="D47" s="2">
        <v>1472</v>
      </c>
      <c r="E47" s="1240" t="str">
        <f>TEXT('MYP Assumptions'!$D$55,"0.00%")&amp;", Medicare rate"</f>
        <v>1.45%, Medicare rate</v>
      </c>
      <c r="F47" s="2"/>
      <c r="G47" s="1527">
        <f t="shared" si="15"/>
        <v>-0.24252717391304349</v>
      </c>
      <c r="H47" s="2">
        <f>ROUND((H41+H30)*LEFT(I47,5),0)</f>
        <v>1115</v>
      </c>
      <c r="I47" s="1240" t="str">
        <f>TEXT('MYP Assumptions'!E55,"0.00%")&amp;", no rate change"</f>
        <v>1.45%, no rate change</v>
      </c>
      <c r="J47" s="66"/>
      <c r="K47" s="1527">
        <f t="shared" si="16"/>
        <v>-2.6905829596412557E-2</v>
      </c>
      <c r="L47" s="2">
        <f>ROUND((L41+L30)*LEFT(M47,5),0)</f>
        <v>1085</v>
      </c>
      <c r="M47" s="1240" t="str">
        <f>TEXT('MYP Assumptions'!F55,"0.00%")&amp;", no rate change"</f>
        <v>1.45%, no rate change</v>
      </c>
      <c r="O47" s="1527">
        <f t="shared" si="17"/>
        <v>-2.7649769585253458E-2</v>
      </c>
      <c r="P47" s="2">
        <f>ROUND((P41+P30)*LEFT(Q47,5),0)</f>
        <v>1055</v>
      </c>
      <c r="Q47" s="1240" t="str">
        <f>TEXT('MYP Assumptions'!G55,"0.00%")&amp;", no rate change"</f>
        <v>1.45%, no rate change</v>
      </c>
      <c r="S47" s="83">
        <f t="shared" si="18"/>
        <v>2.0853080568720379E-2</v>
      </c>
      <c r="T47" s="2">
        <f>ROUND((T41+T30)*LEFT(U47,5),0)</f>
        <v>1077</v>
      </c>
      <c r="U47" s="81" t="str">
        <f>TEXT('MYP Assumptions'!H55,"0.00%")&amp;", no rate change"</f>
        <v>1.45%, no rate change</v>
      </c>
      <c r="W47" s="83">
        <f t="shared" si="19"/>
        <v>1.9498607242339833E-2</v>
      </c>
      <c r="X47" s="2">
        <f>ROUND((X41+X30)*LEFT(Y47,5),0)</f>
        <v>1098</v>
      </c>
      <c r="Y47" s="81" t="str">
        <f>TEXT('MYP Assumptions'!I55,"0.00%")&amp;", no rate change"</f>
        <v>1.45%, no rate change</v>
      </c>
      <c r="AA47" s="83">
        <f t="shared" si="20"/>
        <v>2.0036429872495445E-2</v>
      </c>
      <c r="AB47" s="2">
        <f>ROUND((AB41+AB30)*LEFT(AC47,5),0)</f>
        <v>1120</v>
      </c>
      <c r="AC47" s="81" t="str">
        <f>TEXT('MYP Assumptions'!J55,"0.00%")&amp;", no rate change"</f>
        <v>1.45%, no rate change</v>
      </c>
    </row>
    <row r="48" spans="1:29" x14ac:dyDescent="0.25">
      <c r="A48" s="66"/>
      <c r="B48" s="1326" t="s">
        <v>87</v>
      </c>
      <c r="C48" s="1243" t="s">
        <v>80</v>
      </c>
      <c r="D48" s="2">
        <v>13842</v>
      </c>
      <c r="E48" s="1240"/>
      <c r="F48" s="2"/>
      <c r="G48" s="1527">
        <f t="shared" si="15"/>
        <v>5.6061262823291429E-2</v>
      </c>
      <c r="H48" s="2">
        <v>14618</v>
      </c>
      <c r="I48" s="1240"/>
      <c r="J48" s="66"/>
      <c r="K48" s="1527">
        <f t="shared" si="16"/>
        <v>6.9982213709125732E-2</v>
      </c>
      <c r="L48" s="2">
        <f>ROUND((H48)*(LEFT(M48,5)+1),0)</f>
        <v>15641</v>
      </c>
      <c r="M48" s="1240" t="str">
        <f>TEXT('MYP Assumptions'!$M$62,"0.00%")&amp;", projected increase"</f>
        <v>7.00%, projected increase</v>
      </c>
      <c r="O48" s="1527">
        <f t="shared" si="17"/>
        <v>7.0008311489035233E-2</v>
      </c>
      <c r="P48" s="2">
        <f>ROUND((L48)*(LEFT(Q48,5)+1),0)</f>
        <v>16736</v>
      </c>
      <c r="Q48" s="1240" t="str">
        <f>TEXT('MYP Assumptions'!$M$62,"0.00%")&amp;", projected increase"</f>
        <v>7.00%, projected increase</v>
      </c>
      <c r="S48" s="83">
        <f t="shared" si="18"/>
        <v>7.0028680688336523E-2</v>
      </c>
      <c r="T48" s="2">
        <f>ROUND((P48)*(LEFT(U48,5)+1),0)</f>
        <v>17908</v>
      </c>
      <c r="U48" s="81" t="str">
        <f>TEXT('MYP Assumptions'!$M$62,"0.00%")&amp;", projected increase"</f>
        <v>7.00%, projected increase</v>
      </c>
      <c r="W48" s="83">
        <f t="shared" si="19"/>
        <v>7.0024570024570021E-2</v>
      </c>
      <c r="X48" s="2">
        <f>ROUND((T48)*(LEFT(Y48,5)+1),0)</f>
        <v>19162</v>
      </c>
      <c r="Y48" s="81" t="str">
        <f>TEXT('MYP Assumptions'!$M$62,"0.00%")&amp;", projected increase"</f>
        <v>7.00%, projected increase</v>
      </c>
      <c r="AA48" s="83">
        <f t="shared" si="20"/>
        <v>6.9982256549420724E-2</v>
      </c>
      <c r="AB48" s="2">
        <f>ROUND((X48)*(LEFT(AC48,5)+1),0)</f>
        <v>20503</v>
      </c>
      <c r="AC48" s="81" t="str">
        <f>TEXT('MYP Assumptions'!$M$62,"0.00%")&amp;", projected increase"</f>
        <v>7.00%, projected increase</v>
      </c>
    </row>
    <row r="49" spans="1:29" x14ac:dyDescent="0.25">
      <c r="A49" s="66"/>
      <c r="B49" s="1326" t="s">
        <v>88</v>
      </c>
      <c r="C49" s="1243" t="s">
        <v>81</v>
      </c>
      <c r="D49" s="2">
        <v>52</v>
      </c>
      <c r="E49" s="1240" t="str">
        <f>TEXT('MYP Assumptions'!$D$56,"0.00%")&amp;", SUI rate"</f>
        <v>0.05%, SUI rate</v>
      </c>
      <c r="F49" s="2"/>
      <c r="G49" s="1527">
        <f t="shared" si="15"/>
        <v>-0.26923076923076922</v>
      </c>
      <c r="H49" s="2">
        <f>ROUND((H41+H30)*LEFT(I49,5),0)</f>
        <v>38</v>
      </c>
      <c r="I49" s="1240" t="str">
        <f>TEXT('MYP Assumptions'!E56,"0.00%")&amp;", no rate change"</f>
        <v>0.05%, no rate change</v>
      </c>
      <c r="J49" s="66"/>
      <c r="K49" s="1527">
        <f t="shared" si="16"/>
        <v>-2.6315789473684209E-2</v>
      </c>
      <c r="L49" s="2">
        <f>ROUND((L41+L30)*LEFT(M49,5),0)</f>
        <v>37</v>
      </c>
      <c r="M49" s="1240" t="str">
        <f>TEXT('MYP Assumptions'!F56,"0.00%")&amp;", no rate change"</f>
        <v>0.05%, no rate change</v>
      </c>
      <c r="O49" s="1527">
        <f t="shared" si="17"/>
        <v>-2.7027027027027029E-2</v>
      </c>
      <c r="P49" s="2">
        <f>ROUND((P41+P30)*LEFT(Q49,5),0)</f>
        <v>36</v>
      </c>
      <c r="Q49" s="1240" t="str">
        <f>TEXT('MYP Assumptions'!G56,"0.00%")&amp;", no rate change"</f>
        <v>0.05%, no rate change</v>
      </c>
      <c r="S49" s="83">
        <f t="shared" si="18"/>
        <v>2.7777777777777776E-2</v>
      </c>
      <c r="T49" s="2">
        <f>ROUND((T41+T30)*LEFT(U49,5),0)</f>
        <v>37</v>
      </c>
      <c r="U49" s="81" t="str">
        <f>TEXT('MYP Assumptions'!H56,"0.00%")&amp;", no rate change"</f>
        <v>0.05%, no rate change</v>
      </c>
      <c r="W49" s="83">
        <f t="shared" si="19"/>
        <v>2.7027027027027029E-2</v>
      </c>
      <c r="X49" s="2">
        <f>ROUND((X41+X30)*LEFT(Y49,5),0)</f>
        <v>38</v>
      </c>
      <c r="Y49" s="81" t="str">
        <f>TEXT('MYP Assumptions'!I56,"0.00%")&amp;", no rate change"</f>
        <v>0.05%, no rate change</v>
      </c>
      <c r="AA49" s="83">
        <f t="shared" si="20"/>
        <v>2.6315789473684209E-2</v>
      </c>
      <c r="AB49" s="2">
        <f>ROUND((AB41+AB30)*LEFT(AC49,5),0)</f>
        <v>39</v>
      </c>
      <c r="AC49" s="81" t="str">
        <f>TEXT('MYP Assumptions'!J56,"0.00%")&amp;", no rate change"</f>
        <v>0.05%, no rate change</v>
      </c>
    </row>
    <row r="50" spans="1:29" x14ac:dyDescent="0.25">
      <c r="A50" s="66"/>
      <c r="B50" s="1326" t="s">
        <v>89</v>
      </c>
      <c r="C50" s="1243" t="s">
        <v>82</v>
      </c>
      <c r="D50" s="2">
        <v>1139</v>
      </c>
      <c r="E50" s="1240" t="str">
        <f>TEXT('MYP Assumptions'!$D$57,"0.00%")&amp;", W/C rate"</f>
        <v>1.10%, W/C rate</v>
      </c>
      <c r="F50" s="2"/>
      <c r="G50" s="1527">
        <f t="shared" si="15"/>
        <v>-0.25724319578577698</v>
      </c>
      <c r="H50" s="2">
        <f>ROUND((H41+H30)*LEFT(I50,5),0)</f>
        <v>846</v>
      </c>
      <c r="I50" s="1240" t="str">
        <f>TEXT('MYP Assumptions'!E57,"0.00%")&amp;", no rate change"</f>
        <v>1.10%, no rate change</v>
      </c>
      <c r="J50" s="66"/>
      <c r="K50" s="1527">
        <f t="shared" si="16"/>
        <v>-2.7186761229314422E-2</v>
      </c>
      <c r="L50" s="2">
        <f>ROUND((L41+L30)*LEFT(M50,5),0)</f>
        <v>823</v>
      </c>
      <c r="M50" s="1240" t="str">
        <f>TEXT('MYP Assumptions'!F57,"0.00%")&amp;", no rate change"</f>
        <v>1.10%, no rate change</v>
      </c>
      <c r="O50" s="1527">
        <f t="shared" si="17"/>
        <v>-2.6731470230862697E-2</v>
      </c>
      <c r="P50" s="2">
        <f>ROUND((P41+P30)*LEFT(Q50,5),0)</f>
        <v>801</v>
      </c>
      <c r="Q50" s="1240" t="str">
        <f>TEXT('MYP Assumptions'!G57,"0.00%")&amp;", no rate change"</f>
        <v>1.10%, no rate change</v>
      </c>
      <c r="S50" s="83">
        <f t="shared" si="18"/>
        <v>1.9975031210986267E-2</v>
      </c>
      <c r="T50" s="2">
        <f>ROUND((T41+T30)*LEFT(U50,5),0)</f>
        <v>817</v>
      </c>
      <c r="U50" s="81" t="str">
        <f>TEXT('MYP Assumptions'!H57,"0.00%")&amp;", no rate change"</f>
        <v>1.10%, no rate change</v>
      </c>
      <c r="W50" s="83">
        <f t="shared" si="19"/>
        <v>1.9583843329253364E-2</v>
      </c>
      <c r="X50" s="2">
        <f>ROUND((X41+X30)*LEFT(Y50,5),0)</f>
        <v>833</v>
      </c>
      <c r="Y50" s="81" t="str">
        <f>TEXT('MYP Assumptions'!I57,"0.00%")&amp;", no rate change"</f>
        <v>1.10%, no rate change</v>
      </c>
      <c r="AA50" s="83">
        <f t="shared" si="20"/>
        <v>2.0408163265306121E-2</v>
      </c>
      <c r="AB50" s="2">
        <f>ROUND((AB41+AB30)*LEFT(AC50,5),0)</f>
        <v>850</v>
      </c>
      <c r="AC50" s="81" t="str">
        <f>TEXT('MYP Assumptions'!J57,"0.00%")&amp;", no rate change"</f>
        <v>1.10%, no rate change</v>
      </c>
    </row>
    <row r="51" spans="1:29" x14ac:dyDescent="0.25">
      <c r="A51" s="66"/>
      <c r="B51" s="1326" t="s">
        <v>91</v>
      </c>
      <c r="C51" s="1243" t="s">
        <v>93</v>
      </c>
      <c r="D51" s="2">
        <v>494</v>
      </c>
      <c r="E51" s="1249"/>
      <c r="F51" s="2"/>
      <c r="G51" s="1527">
        <f t="shared" ref="G51" si="21">IF(D51=0,"0.00%",(H51-D51)/D51)</f>
        <v>-0.13562753036437247</v>
      </c>
      <c r="H51" s="2">
        <v>427</v>
      </c>
      <c r="I51" s="1240" t="s">
        <v>166</v>
      </c>
      <c r="J51" s="66"/>
      <c r="K51" s="1527">
        <f t="shared" ref="K51" si="22">IF(H51=0,"0.00%",(L51-H51)/H51)</f>
        <v>0</v>
      </c>
      <c r="L51" s="2">
        <f>H51</f>
        <v>427</v>
      </c>
      <c r="M51" s="1240" t="s">
        <v>166</v>
      </c>
      <c r="O51" s="1527">
        <f t="shared" ref="O51" si="23">IF(L51=0,"0.00%",(P51-L51)/L51)</f>
        <v>0</v>
      </c>
      <c r="P51" s="2">
        <f>L51</f>
        <v>427</v>
      </c>
      <c r="Q51" s="1240" t="s">
        <v>166</v>
      </c>
      <c r="S51" s="83">
        <f t="shared" ref="S51" si="24">IF(P51=0,"0.00%",(T51-P51)/P51)</f>
        <v>0</v>
      </c>
      <c r="T51" s="2">
        <f>P51</f>
        <v>427</v>
      </c>
      <c r="U51" s="81" t="s">
        <v>166</v>
      </c>
      <c r="W51" s="83">
        <f t="shared" ref="W51" si="25">IF(T51=0,"0.00%",(X51-T51)/T51)</f>
        <v>0</v>
      </c>
      <c r="X51" s="2">
        <f>T51</f>
        <v>427</v>
      </c>
      <c r="Y51" s="81" t="s">
        <v>166</v>
      </c>
      <c r="AA51" s="83">
        <f t="shared" ref="AA51" si="26">IF(X51=0,"0.00%",(AB51-X51)/X51)</f>
        <v>0</v>
      </c>
      <c r="AB51" s="2">
        <f>X51</f>
        <v>427</v>
      </c>
      <c r="AC51" s="81" t="s">
        <v>166</v>
      </c>
    </row>
    <row r="52" spans="1:29" ht="7.5" customHeight="1" x14ac:dyDescent="0.25">
      <c r="A52" s="66"/>
      <c r="B52" s="1326"/>
      <c r="E52" s="1249"/>
      <c r="F52" s="2"/>
      <c r="G52" s="1527"/>
      <c r="H52" s="2"/>
      <c r="I52" s="1240"/>
      <c r="J52" s="66"/>
      <c r="K52" s="1527"/>
      <c r="L52" s="2"/>
      <c r="M52" s="1240"/>
      <c r="O52" s="1527"/>
      <c r="Q52" s="1240"/>
      <c r="S52" s="83"/>
      <c r="T52" s="2"/>
      <c r="U52" s="81"/>
      <c r="W52" s="83"/>
      <c r="X52" s="2"/>
      <c r="Y52" s="81"/>
      <c r="AA52" s="83"/>
      <c r="AB52" s="2"/>
      <c r="AC52" s="81"/>
    </row>
    <row r="53" spans="1:29" x14ac:dyDescent="0.25">
      <c r="A53" s="29"/>
      <c r="B53" s="1326"/>
      <c r="D53" s="8">
        <f>SUM(D44:D52)</f>
        <v>29805</v>
      </c>
      <c r="E53" s="1249"/>
      <c r="F53" s="2"/>
      <c r="G53" s="1527">
        <f t="shared" si="15"/>
        <v>-5.5829558798859251E-2</v>
      </c>
      <c r="H53" s="8">
        <f>SUM(H44:H52)</f>
        <v>28141</v>
      </c>
      <c r="I53" s="1882">
        <f>+H53-D53</f>
        <v>-1664</v>
      </c>
      <c r="J53" s="29"/>
      <c r="K53" s="1527">
        <f t="shared" si="16"/>
        <v>7.3096194165097189E-2</v>
      </c>
      <c r="L53" s="8">
        <f>SUM(L44:L52)</f>
        <v>30198</v>
      </c>
      <c r="M53" s="1882">
        <f>+L53-H53</f>
        <v>2057</v>
      </c>
      <c r="O53" s="1527">
        <f t="shared" si="17"/>
        <v>6.8050864295648716E-2</v>
      </c>
      <c r="P53" s="8">
        <f>SUM(P44:P52)</f>
        <v>32253</v>
      </c>
      <c r="Q53" s="1882">
        <f>+P53-L53</f>
        <v>2055</v>
      </c>
      <c r="S53" s="83">
        <f t="shared" si="18"/>
        <v>6.8055684742504577E-2</v>
      </c>
      <c r="T53" s="8">
        <f>SUM(T44:T52)</f>
        <v>34448</v>
      </c>
      <c r="U53" s="73"/>
      <c r="W53" s="83">
        <f t="shared" si="19"/>
        <v>4.5721086855550395E-2</v>
      </c>
      <c r="X53" s="8">
        <f>SUM(X44:X52)</f>
        <v>36023</v>
      </c>
      <c r="Y53" s="73"/>
      <c r="AA53" s="83">
        <f t="shared" si="20"/>
        <v>4.6387030508286374E-2</v>
      </c>
      <c r="AB53" s="8">
        <f>SUM(AB44:AB52)</f>
        <v>37694</v>
      </c>
      <c r="AC53" s="73"/>
    </row>
    <row r="54" spans="1:29" x14ac:dyDescent="0.25">
      <c r="A54" s="57"/>
      <c r="B54" s="1326"/>
      <c r="E54" s="1249"/>
      <c r="F54" s="2"/>
      <c r="H54" s="2"/>
      <c r="I54" s="1257"/>
      <c r="J54" s="66"/>
      <c r="L54" s="2"/>
      <c r="M54" s="1335"/>
      <c r="Q54" s="1335"/>
      <c r="T54" s="2"/>
      <c r="U54" s="73"/>
      <c r="X54" s="2"/>
      <c r="Y54" s="73"/>
      <c r="AB54" s="2"/>
      <c r="AC54" s="73"/>
    </row>
    <row r="55" spans="1:29" x14ac:dyDescent="0.25">
      <c r="A55" s="29"/>
      <c r="B55" s="1323" t="s">
        <v>26</v>
      </c>
      <c r="D55" s="8">
        <f>SUM(D53,D41,D30)</f>
        <v>140229.20000000001</v>
      </c>
      <c r="E55" s="1249"/>
      <c r="F55" s="2"/>
      <c r="G55" s="1527">
        <f>IF(D55=0,"0.00%",(H55-D55)/D55)</f>
        <v>-0.25089781586146115</v>
      </c>
      <c r="H55" s="8">
        <f>SUM(H53,H41,H30)</f>
        <v>105046</v>
      </c>
      <c r="I55" s="1882">
        <f>+H55-D55</f>
        <v>-35183.200000000012</v>
      </c>
      <c r="J55" s="29"/>
      <c r="K55" s="1527">
        <f>IF(H55=0,"0.00%",(L55-H55)/H55)</f>
        <v>0</v>
      </c>
      <c r="L55" s="8">
        <f>SUM(L53,L41,L30)</f>
        <v>105046</v>
      </c>
      <c r="M55" s="1882">
        <f>+L55-H55</f>
        <v>0</v>
      </c>
      <c r="O55" s="1527">
        <f>IF(L55=0,"0.00%",(P55-L55)/L55)</f>
        <v>0</v>
      </c>
      <c r="P55" s="8">
        <f>SUM(P53,P41,P30)</f>
        <v>105046</v>
      </c>
      <c r="Q55" s="1882">
        <f>+P55-L55</f>
        <v>0</v>
      </c>
      <c r="S55" s="83">
        <f>IF(P55=0,"0.00%",(T55-P55)/P55)</f>
        <v>3.4756202044818461E-2</v>
      </c>
      <c r="T55" s="8">
        <f>SUM(T53,T41,T30)</f>
        <v>108697</v>
      </c>
      <c r="U55" s="73"/>
      <c r="W55" s="83">
        <f>IF(T55=0,"0.00%",(X55-T55)/T55)</f>
        <v>2.8151650919528599E-2</v>
      </c>
      <c r="X55" s="8">
        <f>SUM(X53,X41,X30)</f>
        <v>111757</v>
      </c>
      <c r="Y55" s="73"/>
      <c r="AA55" s="83">
        <f>IF(X55=0,"0.00%",(AB55-X55)/X55)</f>
        <v>2.8508281360451693E-2</v>
      </c>
      <c r="AB55" s="8">
        <f>SUM(AB53,AB41,AB30)</f>
        <v>114943</v>
      </c>
      <c r="AC55" s="73"/>
    </row>
    <row r="56" spans="1:29" x14ac:dyDescent="0.25">
      <c r="A56" s="59"/>
      <c r="E56" s="1249"/>
      <c r="F56" s="2"/>
      <c r="H56" s="2"/>
      <c r="I56" s="1257"/>
      <c r="J56" s="66"/>
      <c r="L56" s="2"/>
      <c r="M56" s="1335"/>
      <c r="Q56" s="1335"/>
      <c r="T56" s="2"/>
      <c r="U56" s="73"/>
      <c r="X56" s="2"/>
      <c r="Y56" s="73"/>
      <c r="AB56" s="2"/>
      <c r="AC56" s="73"/>
    </row>
    <row r="57" spans="1:29" x14ac:dyDescent="0.25">
      <c r="A57" s="66"/>
      <c r="E57" s="1249"/>
      <c r="F57" s="2"/>
      <c r="H57" s="2"/>
      <c r="I57" s="1257"/>
      <c r="J57" s="66"/>
      <c r="L57" s="2"/>
      <c r="M57" s="1335"/>
      <c r="Q57" s="1335"/>
      <c r="T57" s="2"/>
      <c r="U57" s="73"/>
      <c r="X57" s="2"/>
      <c r="Y57" s="73"/>
      <c r="AB57" s="2"/>
      <c r="AC57" s="73"/>
    </row>
    <row r="58" spans="1:29" x14ac:dyDescent="0.25">
      <c r="A58" s="59"/>
      <c r="B58" s="1327" t="s">
        <v>25</v>
      </c>
      <c r="C58" s="1259"/>
      <c r="E58" s="1249"/>
      <c r="F58" s="2"/>
      <c r="H58" s="2"/>
      <c r="I58" s="1257"/>
      <c r="J58" s="66"/>
      <c r="L58" s="2"/>
      <c r="M58" s="1335"/>
      <c r="Q58" s="1335"/>
      <c r="T58" s="2"/>
      <c r="U58" s="73"/>
      <c r="X58" s="2"/>
      <c r="Y58" s="73"/>
      <c r="AB58" s="2"/>
      <c r="AC58" s="73"/>
    </row>
    <row r="59" spans="1:29" hidden="1" x14ac:dyDescent="0.25">
      <c r="A59" s="66"/>
      <c r="B59" s="1326" t="s">
        <v>24</v>
      </c>
      <c r="C59" s="1243" t="s">
        <v>23</v>
      </c>
      <c r="D59" s="2">
        <v>0</v>
      </c>
      <c r="E59" s="1249"/>
      <c r="F59" s="2"/>
      <c r="G59" s="1527" t="str">
        <f t="shared" ref="G59:G66" si="27">IF(D59=0,"0.00%",(H59-D59)/D59)</f>
        <v>0.00%</v>
      </c>
      <c r="H59" s="2">
        <f t="shared" ref="H59:H65" si="28">ROUND(D59*(LEFT(I59,5)+1),0)</f>
        <v>0</v>
      </c>
      <c r="I59" s="1240" t="str">
        <f>TEXT('MYP Assumptions'!E72,"0.00%")&amp;", CPI"</f>
        <v>3.11%, CPI</v>
      </c>
      <c r="J59" s="66"/>
      <c r="K59" s="1527" t="str">
        <f t="shared" ref="K59:K66" si="29">IF(H59=0,"0.00%",(L59-H59)/H59)</f>
        <v>0.00%</v>
      </c>
      <c r="L59" s="2">
        <f>ROUND(H59*(LEFT(M59,5)+1),0)</f>
        <v>0</v>
      </c>
      <c r="M59" s="1240" t="str">
        <f>TEXT('MYP Assumptions'!F72,"0.00%")&amp;", CPI"</f>
        <v>3.19%, CPI</v>
      </c>
      <c r="O59" s="1527" t="str">
        <f t="shared" ref="O59:O66" si="30">IF(L59=0,"0.00%",(P59-L59)/L59)</f>
        <v>0.00%</v>
      </c>
      <c r="P59" s="2">
        <f>ROUND(L59*(LEFT(Q59,5)+1),0)</f>
        <v>0</v>
      </c>
      <c r="Q59" s="1240" t="str">
        <f>TEXT('MYP Assumptions'!G72,"0.00%")&amp;", CPI"</f>
        <v>2.86%, CPI</v>
      </c>
      <c r="S59" s="83" t="str">
        <f t="shared" ref="S59:S66" si="31">IF(P59=0,"0.00%",(T59-P59)/P59)</f>
        <v>0.00%</v>
      </c>
      <c r="T59" s="2">
        <f>ROUND(P59*(LEFT(U59,5)+1),0)</f>
        <v>0</v>
      </c>
      <c r="U59" s="81" t="str">
        <f>TEXT('MYP Assumptions'!H72,"0.00%")&amp;", CPI"</f>
        <v>2.73%, CPI</v>
      </c>
      <c r="W59" s="83" t="str">
        <f t="shared" ref="W59:W66" si="32">IF(T59=0,"0.00%",(X59-T59)/T59)</f>
        <v>0.00%</v>
      </c>
      <c r="X59" s="2">
        <f>ROUND(T59*(LEFT(Y59,5)+1),0)</f>
        <v>0</v>
      </c>
      <c r="Y59" s="81" t="str">
        <f>TEXT('MYP Assumptions'!I72,"0.00%")&amp;", CPI"</f>
        <v>2.73%, CPI</v>
      </c>
      <c r="AA59" s="83" t="str">
        <f t="shared" ref="AA59:AA66" si="33">IF(X59=0,"0.00%",(AB59-X59)/X59)</f>
        <v>0.00%</v>
      </c>
      <c r="AB59" s="2">
        <f>ROUND(X59*(LEFT(AC59,5)+1),0)</f>
        <v>0</v>
      </c>
      <c r="AC59" s="81" t="str">
        <f>TEXT('MYP Assumptions'!J72,"0.00%")&amp;", CPI"</f>
        <v>2.73%, CPI</v>
      </c>
    </row>
    <row r="60" spans="1:29" hidden="1" x14ac:dyDescent="0.25">
      <c r="A60" s="66"/>
      <c r="B60" s="1326" t="s">
        <v>94</v>
      </c>
      <c r="C60" s="1243" t="s">
        <v>96</v>
      </c>
      <c r="D60" s="2">
        <v>0</v>
      </c>
      <c r="E60" s="1249"/>
      <c r="F60" s="2"/>
      <c r="G60" s="1527" t="str">
        <f t="shared" si="27"/>
        <v>0.00%</v>
      </c>
      <c r="H60" s="2">
        <f t="shared" si="28"/>
        <v>0</v>
      </c>
      <c r="I60" s="1240" t="str">
        <f>TEXT('MYP Assumptions'!E72,"0.00%")&amp;", CPI"</f>
        <v>3.11%, CPI</v>
      </c>
      <c r="J60" s="66"/>
      <c r="K60" s="1527" t="str">
        <f t="shared" si="29"/>
        <v>0.00%</v>
      </c>
      <c r="L60" s="2">
        <f t="shared" ref="L60:L65" si="34">ROUND(H60*(LEFT(M60,5)+1),0)</f>
        <v>0</v>
      </c>
      <c r="M60" s="1240" t="str">
        <f>TEXT('MYP Assumptions'!F72,"0.00%")&amp;", CPI"</f>
        <v>3.19%, CPI</v>
      </c>
      <c r="O60" s="1527" t="str">
        <f t="shared" si="30"/>
        <v>0.00%</v>
      </c>
      <c r="P60" s="2">
        <f t="shared" ref="P60:P65" si="35">ROUND(L60*(LEFT(Q60,5)+1),0)</f>
        <v>0</v>
      </c>
      <c r="Q60" s="1240" t="str">
        <f>TEXT('MYP Assumptions'!G72,"0.00%")&amp;", CPI"</f>
        <v>2.86%, CPI</v>
      </c>
      <c r="S60" s="83" t="str">
        <f t="shared" si="31"/>
        <v>0.00%</v>
      </c>
      <c r="T60" s="2">
        <f t="shared" ref="T60:T65" si="36">ROUND(P60*(LEFT(U60,5)+1),0)</f>
        <v>0</v>
      </c>
      <c r="U60" s="81" t="str">
        <f>TEXT('MYP Assumptions'!H72,"0.00%")&amp;", CPI"</f>
        <v>2.73%, CPI</v>
      </c>
      <c r="W60" s="83" t="str">
        <f t="shared" si="32"/>
        <v>0.00%</v>
      </c>
      <c r="X60" s="2">
        <f t="shared" ref="X60:X65" si="37">ROUND(T60*(LEFT(Y60,5)+1),0)</f>
        <v>0</v>
      </c>
      <c r="Y60" s="81" t="str">
        <f>TEXT('MYP Assumptions'!I72,"0.00%")&amp;", CPI"</f>
        <v>2.73%, CPI</v>
      </c>
      <c r="AA60" s="83" t="str">
        <f t="shared" si="33"/>
        <v>0.00%</v>
      </c>
      <c r="AB60" s="2">
        <f t="shared" ref="AB60:AB65" si="38">ROUND(X60*(LEFT(AC60,5)+1),0)</f>
        <v>0</v>
      </c>
      <c r="AC60" s="81" t="str">
        <f>TEXT('MYP Assumptions'!J72,"0.00%")&amp;", CPI"</f>
        <v>2.73%, CPI</v>
      </c>
    </row>
    <row r="61" spans="1:29" hidden="1" x14ac:dyDescent="0.25">
      <c r="A61" s="66"/>
      <c r="B61" s="1326" t="s">
        <v>95</v>
      </c>
      <c r="C61" s="1243" t="s">
        <v>97</v>
      </c>
      <c r="D61" s="2">
        <v>0</v>
      </c>
      <c r="E61" s="1249"/>
      <c r="F61" s="2"/>
      <c r="G61" s="1527" t="str">
        <f t="shared" si="27"/>
        <v>0.00%</v>
      </c>
      <c r="H61" s="2">
        <f t="shared" si="28"/>
        <v>0</v>
      </c>
      <c r="I61" s="1240" t="str">
        <f>TEXT('MYP Assumptions'!E72,"0.00%")&amp;", CPI"</f>
        <v>3.11%, CPI</v>
      </c>
      <c r="J61" s="66"/>
      <c r="K61" s="1527" t="str">
        <f t="shared" si="29"/>
        <v>0.00%</v>
      </c>
      <c r="L61" s="2">
        <f t="shared" si="34"/>
        <v>0</v>
      </c>
      <c r="M61" s="1240" t="str">
        <f>TEXT('MYP Assumptions'!F72,"0.00%")&amp;", CPI"</f>
        <v>3.19%, CPI</v>
      </c>
      <c r="O61" s="1527" t="str">
        <f t="shared" si="30"/>
        <v>0.00%</v>
      </c>
      <c r="P61" s="2">
        <f t="shared" si="35"/>
        <v>0</v>
      </c>
      <c r="Q61" s="1240" t="str">
        <f>TEXT('MYP Assumptions'!G72,"0.00%")&amp;", CPI"</f>
        <v>2.86%, CPI</v>
      </c>
      <c r="S61" s="83" t="str">
        <f t="shared" si="31"/>
        <v>0.00%</v>
      </c>
      <c r="T61" s="2">
        <f t="shared" si="36"/>
        <v>0</v>
      </c>
      <c r="U61" s="81" t="str">
        <f>TEXT('MYP Assumptions'!H72,"0.00%")&amp;", CPI"</f>
        <v>2.73%, CPI</v>
      </c>
      <c r="W61" s="83" t="str">
        <f t="shared" si="32"/>
        <v>0.00%</v>
      </c>
      <c r="X61" s="2">
        <f t="shared" si="37"/>
        <v>0</v>
      </c>
      <c r="Y61" s="81" t="str">
        <f>TEXT('MYP Assumptions'!I72,"0.00%")&amp;", CPI"</f>
        <v>2.73%, CPI</v>
      </c>
      <c r="AA61" s="83" t="str">
        <f t="shared" si="33"/>
        <v>0.00%</v>
      </c>
      <c r="AB61" s="2">
        <f t="shared" si="38"/>
        <v>0</v>
      </c>
      <c r="AC61" s="81" t="str">
        <f>TEXT('MYP Assumptions'!J72,"0.00%")&amp;", CPI"</f>
        <v>2.73%, CPI</v>
      </c>
    </row>
    <row r="62" spans="1:29" x14ac:dyDescent="0.25">
      <c r="A62" s="66"/>
      <c r="B62" s="1326" t="s">
        <v>22</v>
      </c>
      <c r="C62" s="1243" t="s">
        <v>21</v>
      </c>
      <c r="D62" s="2">
        <v>5321</v>
      </c>
      <c r="E62" s="1249"/>
      <c r="F62" s="2"/>
      <c r="G62" s="1527">
        <f t="shared" si="27"/>
        <v>-1</v>
      </c>
      <c r="H62" s="2">
        <v>0</v>
      </c>
      <c r="I62" s="1240" t="s">
        <v>223</v>
      </c>
      <c r="J62" s="66"/>
      <c r="K62" s="1527" t="str">
        <f t="shared" si="29"/>
        <v>0.00%</v>
      </c>
      <c r="L62" s="2">
        <f t="shared" si="34"/>
        <v>0</v>
      </c>
      <c r="M62" s="1240" t="str">
        <f>TEXT('MYP Assumptions'!F72,"0.00%")&amp;", CPI"</f>
        <v>3.19%, CPI</v>
      </c>
      <c r="O62" s="1527" t="str">
        <f t="shared" si="30"/>
        <v>0.00%</v>
      </c>
      <c r="P62" s="2">
        <f t="shared" si="35"/>
        <v>0</v>
      </c>
      <c r="Q62" s="1240" t="str">
        <f>TEXT('MYP Assumptions'!G72,"0.00%")&amp;", CPI"</f>
        <v>2.86%, CPI</v>
      </c>
      <c r="S62" s="83" t="str">
        <f t="shared" si="31"/>
        <v>0.00%</v>
      </c>
      <c r="T62" s="2">
        <f t="shared" si="36"/>
        <v>0</v>
      </c>
      <c r="U62" s="81" t="str">
        <f>TEXT('MYP Assumptions'!H72,"0.00%")&amp;", CPI"</f>
        <v>2.73%, CPI</v>
      </c>
      <c r="W62" s="83" t="str">
        <f t="shared" si="32"/>
        <v>0.00%</v>
      </c>
      <c r="X62" s="2">
        <f t="shared" si="37"/>
        <v>0</v>
      </c>
      <c r="Y62" s="81" t="str">
        <f>TEXT('MYP Assumptions'!I72,"0.00%")&amp;", CPI"</f>
        <v>2.73%, CPI</v>
      </c>
      <c r="AA62" s="83" t="str">
        <f t="shared" si="33"/>
        <v>0.00%</v>
      </c>
      <c r="AB62" s="2">
        <f t="shared" si="38"/>
        <v>0</v>
      </c>
      <c r="AC62" s="81" t="str">
        <f>TEXT('MYP Assumptions'!J72,"0.00%")&amp;", CPI"</f>
        <v>2.73%, CPI</v>
      </c>
    </row>
    <row r="63" spans="1:29" hidden="1" x14ac:dyDescent="0.25">
      <c r="A63" s="66"/>
      <c r="B63" s="1326" t="s">
        <v>20</v>
      </c>
      <c r="C63" s="1243" t="s">
        <v>19</v>
      </c>
      <c r="D63" s="2">
        <v>0</v>
      </c>
      <c r="E63" s="1249"/>
      <c r="F63" s="2"/>
      <c r="G63" s="1527" t="str">
        <f t="shared" si="27"/>
        <v>0.00%</v>
      </c>
      <c r="H63" s="2">
        <f t="shared" si="28"/>
        <v>0</v>
      </c>
      <c r="I63" s="1240" t="str">
        <f>TEXT('MYP Assumptions'!E72,"0.00%")&amp;", CPI"</f>
        <v>3.11%, CPI</v>
      </c>
      <c r="J63" s="66"/>
      <c r="K63" s="1527" t="str">
        <f t="shared" si="29"/>
        <v>0.00%</v>
      </c>
      <c r="L63" s="2">
        <f t="shared" si="34"/>
        <v>0</v>
      </c>
      <c r="M63" s="1240" t="str">
        <f>TEXT('MYP Assumptions'!F72,"0.00%")&amp;", CPI"</f>
        <v>3.19%, CPI</v>
      </c>
      <c r="O63" s="1527" t="str">
        <f t="shared" si="30"/>
        <v>0.00%</v>
      </c>
      <c r="P63" s="2">
        <f t="shared" si="35"/>
        <v>0</v>
      </c>
      <c r="Q63" s="1240" t="str">
        <f>TEXT('MYP Assumptions'!G72,"0.00%")&amp;", CPI"</f>
        <v>2.86%, CPI</v>
      </c>
      <c r="S63" s="83" t="str">
        <f t="shared" si="31"/>
        <v>0.00%</v>
      </c>
      <c r="T63" s="2">
        <f t="shared" si="36"/>
        <v>0</v>
      </c>
      <c r="U63" s="81" t="str">
        <f>TEXT('MYP Assumptions'!H72,"0.00%")&amp;", CPI"</f>
        <v>2.73%, CPI</v>
      </c>
      <c r="W63" s="83" t="str">
        <f t="shared" si="32"/>
        <v>0.00%</v>
      </c>
      <c r="X63" s="2">
        <f t="shared" si="37"/>
        <v>0</v>
      </c>
      <c r="Y63" s="81" t="str">
        <f>TEXT('MYP Assumptions'!I72,"0.00%")&amp;", CPI"</f>
        <v>2.73%, CPI</v>
      </c>
      <c r="AA63" s="83" t="str">
        <f t="shared" si="33"/>
        <v>0.00%</v>
      </c>
      <c r="AB63" s="2">
        <f t="shared" si="38"/>
        <v>0</v>
      </c>
      <c r="AC63" s="81" t="str">
        <f>TEXT('MYP Assumptions'!J72,"0.00%")&amp;", CPI"</f>
        <v>2.73%, CPI</v>
      </c>
    </row>
    <row r="64" spans="1:29" hidden="1" x14ac:dyDescent="0.25">
      <c r="A64" s="66"/>
      <c r="B64" s="1326" t="s">
        <v>18</v>
      </c>
      <c r="C64" s="1243" t="s">
        <v>17</v>
      </c>
      <c r="D64" s="2">
        <v>0</v>
      </c>
      <c r="E64" s="1249"/>
      <c r="F64" s="2"/>
      <c r="G64" s="1527" t="str">
        <f t="shared" si="27"/>
        <v>0.00%</v>
      </c>
      <c r="H64" s="2">
        <f t="shared" si="28"/>
        <v>0</v>
      </c>
      <c r="I64" s="1240" t="str">
        <f>TEXT('MYP Assumptions'!E72,"0.00%")&amp;", CPI"</f>
        <v>3.11%, CPI</v>
      </c>
      <c r="J64" s="66"/>
      <c r="K64" s="1527" t="str">
        <f t="shared" si="29"/>
        <v>0.00%</v>
      </c>
      <c r="L64" s="2">
        <f t="shared" si="34"/>
        <v>0</v>
      </c>
      <c r="M64" s="1240" t="str">
        <f>TEXT('MYP Assumptions'!F72,"0.00%")&amp;", CPI"</f>
        <v>3.19%, CPI</v>
      </c>
      <c r="O64" s="1527" t="str">
        <f t="shared" si="30"/>
        <v>0.00%</v>
      </c>
      <c r="P64" s="2">
        <f t="shared" si="35"/>
        <v>0</v>
      </c>
      <c r="Q64" s="1240" t="str">
        <f>TEXT('MYP Assumptions'!G72,"0.00%")&amp;", CPI"</f>
        <v>2.86%, CPI</v>
      </c>
      <c r="S64" s="83" t="str">
        <f t="shared" si="31"/>
        <v>0.00%</v>
      </c>
      <c r="T64" s="2">
        <f t="shared" si="36"/>
        <v>0</v>
      </c>
      <c r="U64" s="81" t="str">
        <f>TEXT('MYP Assumptions'!H72,"0.00%")&amp;", CPI"</f>
        <v>2.73%, CPI</v>
      </c>
      <c r="W64" s="83" t="str">
        <f t="shared" si="32"/>
        <v>0.00%</v>
      </c>
      <c r="X64" s="2">
        <f t="shared" si="37"/>
        <v>0</v>
      </c>
      <c r="Y64" s="81" t="str">
        <f>TEXT('MYP Assumptions'!I72,"0.00%")&amp;", CPI"</f>
        <v>2.73%, CPI</v>
      </c>
      <c r="AA64" s="83" t="str">
        <f t="shared" si="33"/>
        <v>0.00%</v>
      </c>
      <c r="AB64" s="2">
        <f t="shared" si="38"/>
        <v>0</v>
      </c>
      <c r="AC64" s="81" t="str">
        <f>TEXT('MYP Assumptions'!J72,"0.00%")&amp;", CPI"</f>
        <v>2.73%, CPI</v>
      </c>
    </row>
    <row r="65" spans="1:29" hidden="1" x14ac:dyDescent="0.25">
      <c r="A65" s="66"/>
      <c r="B65" s="1326">
        <v>4000</v>
      </c>
      <c r="C65" s="1328">
        <v>0</v>
      </c>
      <c r="D65" s="2">
        <v>0</v>
      </c>
      <c r="E65" s="1249"/>
      <c r="F65" s="2"/>
      <c r="G65" s="1527" t="str">
        <f t="shared" si="27"/>
        <v>0.00%</v>
      </c>
      <c r="H65" s="2">
        <f t="shared" si="28"/>
        <v>0</v>
      </c>
      <c r="I65" s="1240" t="str">
        <f>TEXT('MYP Assumptions'!E72,"0.00%")&amp;", CPI"</f>
        <v>3.11%, CPI</v>
      </c>
      <c r="J65" s="66"/>
      <c r="K65" s="1527" t="str">
        <f t="shared" si="29"/>
        <v>0.00%</v>
      </c>
      <c r="L65" s="2">
        <f t="shared" si="34"/>
        <v>0</v>
      </c>
      <c r="M65" s="1240" t="str">
        <f>TEXT('MYP Assumptions'!F72,"0.00%")&amp;", CPI"</f>
        <v>3.19%, CPI</v>
      </c>
      <c r="O65" s="1527" t="str">
        <f t="shared" si="30"/>
        <v>0.00%</v>
      </c>
      <c r="P65" s="2">
        <f t="shared" si="35"/>
        <v>0</v>
      </c>
      <c r="Q65" s="1240" t="str">
        <f>TEXT('MYP Assumptions'!G72,"0.00%")&amp;", CPI"</f>
        <v>2.86%, CPI</v>
      </c>
      <c r="S65" s="83" t="str">
        <f t="shared" si="31"/>
        <v>0.00%</v>
      </c>
      <c r="T65" s="2">
        <f t="shared" si="36"/>
        <v>0</v>
      </c>
      <c r="U65" s="81" t="str">
        <f>TEXT('MYP Assumptions'!H72,"0.00%")&amp;", CPI"</f>
        <v>2.73%, CPI</v>
      </c>
      <c r="W65" s="83" t="str">
        <f t="shared" si="32"/>
        <v>0.00%</v>
      </c>
      <c r="X65" s="2">
        <f t="shared" si="37"/>
        <v>0</v>
      </c>
      <c r="Y65" s="81" t="str">
        <f>TEXT('MYP Assumptions'!I72,"0.00%")&amp;", CPI"</f>
        <v>2.73%, CPI</v>
      </c>
      <c r="AA65" s="83" t="str">
        <f t="shared" si="33"/>
        <v>0.00%</v>
      </c>
      <c r="AB65" s="2">
        <f t="shared" si="38"/>
        <v>0</v>
      </c>
      <c r="AC65" s="81" t="str">
        <f>TEXT('MYP Assumptions'!J72,"0.00%")&amp;", CPI"</f>
        <v>2.73%, CPI</v>
      </c>
    </row>
    <row r="66" spans="1:29" x14ac:dyDescent="0.25">
      <c r="A66" s="29"/>
      <c r="B66" s="1243"/>
      <c r="D66" s="8">
        <f>SUM(D59:D65)</f>
        <v>5321</v>
      </c>
      <c r="E66" s="1249"/>
      <c r="F66" s="2"/>
      <c r="G66" s="1527">
        <f t="shared" si="27"/>
        <v>-1</v>
      </c>
      <c r="H66" s="8">
        <f>SUM(H59:H65)</f>
        <v>0</v>
      </c>
      <c r="I66" s="1882">
        <f>+H66-D66</f>
        <v>-5321</v>
      </c>
      <c r="J66" s="29"/>
      <c r="K66" s="1527" t="str">
        <f t="shared" si="29"/>
        <v>0.00%</v>
      </c>
      <c r="L66" s="8">
        <f>SUM(L59:L65)</f>
        <v>0</v>
      </c>
      <c r="M66" s="1882">
        <f>+L66-H66</f>
        <v>0</v>
      </c>
      <c r="O66" s="1527" t="str">
        <f t="shared" si="30"/>
        <v>0.00%</v>
      </c>
      <c r="P66" s="8">
        <f>SUM(P59:P65)</f>
        <v>0</v>
      </c>
      <c r="Q66" s="1882">
        <f>+P66-L66</f>
        <v>0</v>
      </c>
      <c r="S66" s="83" t="str">
        <f t="shared" si="31"/>
        <v>0.00%</v>
      </c>
      <c r="T66" s="8">
        <f>SUM(T59:T65)</f>
        <v>0</v>
      </c>
      <c r="U66" s="73"/>
      <c r="W66" s="83" t="str">
        <f t="shared" si="32"/>
        <v>0.00%</v>
      </c>
      <c r="X66" s="8">
        <f>SUM(X59:X65)</f>
        <v>0</v>
      </c>
      <c r="Y66" s="73"/>
      <c r="AA66" s="83" t="str">
        <f t="shared" si="33"/>
        <v>0.00%</v>
      </c>
      <c r="AB66" s="8">
        <f>SUM(AB59:AB65)</f>
        <v>0</v>
      </c>
      <c r="AC66" s="73"/>
    </row>
    <row r="67" spans="1:29" x14ac:dyDescent="0.25">
      <c r="A67" s="66"/>
      <c r="E67" s="1249"/>
      <c r="F67" s="2"/>
      <c r="H67" s="2"/>
      <c r="I67" s="1257"/>
      <c r="J67" s="66"/>
      <c r="L67" s="2"/>
      <c r="M67" s="1335"/>
      <c r="Q67" s="1335"/>
      <c r="T67" s="2"/>
      <c r="U67" s="73"/>
      <c r="X67" s="2"/>
      <c r="Y67" s="73"/>
      <c r="AB67" s="2"/>
      <c r="AC67" s="73"/>
    </row>
    <row r="68" spans="1:29" s="4" customFormat="1" x14ac:dyDescent="0.25">
      <c r="A68" s="58"/>
      <c r="B68" s="1323" t="s">
        <v>16</v>
      </c>
      <c r="C68" s="1259"/>
      <c r="D68" s="6"/>
      <c r="E68" s="1250"/>
      <c r="F68" s="6"/>
      <c r="G68" s="1539"/>
      <c r="H68" s="6"/>
      <c r="I68" s="1259"/>
      <c r="J68" s="58"/>
      <c r="K68" s="1571"/>
      <c r="L68" s="6"/>
      <c r="M68" s="1337"/>
      <c r="O68" s="1571"/>
      <c r="P68" s="6"/>
      <c r="Q68" s="1337"/>
      <c r="R68" s="111"/>
      <c r="U68" s="71"/>
      <c r="Y68" s="71"/>
      <c r="AC68" s="71"/>
    </row>
    <row r="69" spans="1:29" x14ac:dyDescent="0.25">
      <c r="A69" s="66"/>
      <c r="B69" s="1326" t="s">
        <v>5</v>
      </c>
      <c r="C69" s="1243" t="s">
        <v>4</v>
      </c>
      <c r="D69" s="2">
        <v>1748</v>
      </c>
      <c r="E69" s="1248"/>
      <c r="F69" s="2"/>
      <c r="G69" s="1527">
        <f t="shared" ref="G69:G74" si="39">IF(D69=0,"0.00%",(H69-D69)/D69)</f>
        <v>-1</v>
      </c>
      <c r="H69" s="2">
        <v>0</v>
      </c>
      <c r="I69" s="1240" t="s">
        <v>223</v>
      </c>
      <c r="J69" s="66"/>
      <c r="K69" s="1527" t="str">
        <f t="shared" ref="K69:K82" si="40">IF(H69=0,"0.00%",(L69-H69)/H69)</f>
        <v>0.00%</v>
      </c>
      <c r="L69" s="2">
        <f>ROUND(H69*(LEFT(M69,5)+1),0)</f>
        <v>0</v>
      </c>
      <c r="M69" s="1240" t="str">
        <f>TEXT('MYP Assumptions'!F72,"0.00%")&amp;", CPI"</f>
        <v>3.19%, CPI</v>
      </c>
      <c r="O69" s="1527" t="str">
        <f t="shared" ref="O69:O82" si="41">IF(L69=0,"0.00%",(P69-L69)/L69)</f>
        <v>0.00%</v>
      </c>
      <c r="P69" s="2">
        <f>ROUND(L69*(LEFT(Q69,5)+1),0)</f>
        <v>0</v>
      </c>
      <c r="Q69" s="1240" t="str">
        <f>TEXT('MYP Assumptions'!G72,"0.00%")&amp;", CPI"</f>
        <v>2.86%, CPI</v>
      </c>
      <c r="S69" s="83" t="str">
        <f t="shared" ref="S69:S82" si="42">IF(P69=0,"0.00%",(T69-P69)/P69)</f>
        <v>0.00%</v>
      </c>
      <c r="T69" s="2">
        <f>ROUND(P69*(LEFT(U69,5)+1),0)</f>
        <v>0</v>
      </c>
      <c r="U69" s="81" t="str">
        <f>TEXT('MYP Assumptions'!H72,"0.00%")&amp;", CPI"</f>
        <v>2.73%, CPI</v>
      </c>
      <c r="W69" s="83" t="str">
        <f t="shared" ref="W69:W82" si="43">IF(T69=0,"0.00%",(X69-T69)/T69)</f>
        <v>0.00%</v>
      </c>
      <c r="X69" s="2">
        <f>ROUND(T69*(LEFT(Y69,5)+1),0)</f>
        <v>0</v>
      </c>
      <c r="Y69" s="81" t="str">
        <f>TEXT('MYP Assumptions'!I72,"0.00%")&amp;", CPI"</f>
        <v>2.73%, CPI</v>
      </c>
      <c r="AA69" s="83" t="str">
        <f t="shared" ref="AA69:AA82" si="44">IF(X69=0,"0.00%",(AB69-X69)/X69)</f>
        <v>0.00%</v>
      </c>
      <c r="AB69" s="2">
        <f>ROUND(X69*(LEFT(AC69,5)+1),0)</f>
        <v>0</v>
      </c>
      <c r="AC69" s="81" t="str">
        <f>TEXT('MYP Assumptions'!J72,"0.00%")&amp;", CPI"</f>
        <v>2.73%, CPI</v>
      </c>
    </row>
    <row r="70" spans="1:29" hidden="1" x14ac:dyDescent="0.25">
      <c r="A70" s="66"/>
      <c r="B70" s="1326" t="s">
        <v>13</v>
      </c>
      <c r="C70" s="1243" t="s">
        <v>12</v>
      </c>
      <c r="D70" s="2">
        <v>0</v>
      </c>
      <c r="E70" s="1248"/>
      <c r="F70" s="2"/>
      <c r="G70" s="1527" t="str">
        <f t="shared" si="39"/>
        <v>0.00%</v>
      </c>
      <c r="H70" s="2">
        <f>ROUND(D70*(LEFT(I70,5)+1),0)</f>
        <v>0</v>
      </c>
      <c r="I70" s="1240" t="str">
        <f>TEXT('MYP Assumptions'!E72,"0.00%")&amp;", CPI"</f>
        <v>3.11%, CPI</v>
      </c>
      <c r="J70" s="66"/>
      <c r="K70" s="1527" t="str">
        <f t="shared" si="40"/>
        <v>0.00%</v>
      </c>
      <c r="L70" s="2">
        <f t="shared" ref="L70:L81" si="45">ROUND(H70*(LEFT(M70,5)+1),0)</f>
        <v>0</v>
      </c>
      <c r="M70" s="1240" t="str">
        <f>TEXT('MYP Assumptions'!F72,"0.00%")&amp;", CPI"</f>
        <v>3.19%, CPI</v>
      </c>
      <c r="O70" s="1527" t="str">
        <f t="shared" si="41"/>
        <v>0.00%</v>
      </c>
      <c r="P70" s="2">
        <f t="shared" ref="P70:P81" si="46">ROUND(L70*(LEFT(Q70,5)+1),0)</f>
        <v>0</v>
      </c>
      <c r="Q70" s="1240" t="str">
        <f>TEXT('MYP Assumptions'!G72,"0.00%")&amp;", CPI"</f>
        <v>2.86%, CPI</v>
      </c>
      <c r="S70" s="83" t="str">
        <f t="shared" si="42"/>
        <v>0.00%</v>
      </c>
      <c r="T70" s="2">
        <f t="shared" ref="T70:T81" si="47">ROUND(P70*(LEFT(U70,5)+1),0)</f>
        <v>0</v>
      </c>
      <c r="U70" s="81" t="str">
        <f>TEXT('MYP Assumptions'!H72,"0.00%")&amp;", CPI"</f>
        <v>2.73%, CPI</v>
      </c>
      <c r="W70" s="83" t="str">
        <f t="shared" si="43"/>
        <v>0.00%</v>
      </c>
      <c r="X70" s="2">
        <f t="shared" ref="X70:X81" si="48">ROUND(T70*(LEFT(Y70,5)+1),0)</f>
        <v>0</v>
      </c>
      <c r="Y70" s="81" t="str">
        <f>TEXT('MYP Assumptions'!I72,"0.00%")&amp;", CPI"</f>
        <v>2.73%, CPI</v>
      </c>
      <c r="AA70" s="83" t="str">
        <f t="shared" si="44"/>
        <v>0.00%</v>
      </c>
      <c r="AB70" s="2">
        <f t="shared" ref="AB70:AB81" si="49">ROUND(X70*(LEFT(AC70,5)+1),0)</f>
        <v>0</v>
      </c>
      <c r="AC70" s="81" t="str">
        <f>TEXT('MYP Assumptions'!J72,"0.00%")&amp;", CPI"</f>
        <v>2.73%, CPI</v>
      </c>
    </row>
    <row r="71" spans="1:29" hidden="1" x14ac:dyDescent="0.25">
      <c r="A71" s="66"/>
      <c r="B71" s="1326" t="s">
        <v>128</v>
      </c>
      <c r="C71" s="1243" t="s">
        <v>129</v>
      </c>
      <c r="D71" s="2">
        <v>0</v>
      </c>
      <c r="E71" s="1248" t="s">
        <v>764</v>
      </c>
      <c r="F71" s="2"/>
      <c r="G71" s="1527" t="str">
        <f t="shared" si="39"/>
        <v>0.00%</v>
      </c>
      <c r="H71" s="2">
        <f t="shared" ref="H71:H76" si="50">ROUND(D71*(LEFT(I71,5)+1),0)</f>
        <v>0</v>
      </c>
      <c r="I71" s="1240" t="str">
        <f>TEXT('MYP Assumptions'!E72,"0.00%")&amp;", CPI"</f>
        <v>3.11%, CPI</v>
      </c>
      <c r="J71" s="66"/>
      <c r="K71" s="1527" t="str">
        <f t="shared" si="40"/>
        <v>0.00%</v>
      </c>
      <c r="L71" s="2">
        <f t="shared" si="45"/>
        <v>0</v>
      </c>
      <c r="M71" s="1240" t="str">
        <f>TEXT('MYP Assumptions'!F72,"0.00%")&amp;", CPI"</f>
        <v>3.19%, CPI</v>
      </c>
      <c r="O71" s="1527" t="str">
        <f t="shared" si="41"/>
        <v>0.00%</v>
      </c>
      <c r="P71" s="2">
        <f t="shared" si="46"/>
        <v>0</v>
      </c>
      <c r="Q71" s="1240" t="str">
        <f>TEXT('MYP Assumptions'!G72,"0.00%")&amp;", CPI"</f>
        <v>2.86%, CPI</v>
      </c>
      <c r="S71" s="83" t="str">
        <f t="shared" si="42"/>
        <v>0.00%</v>
      </c>
      <c r="T71" s="2">
        <f t="shared" si="47"/>
        <v>0</v>
      </c>
      <c r="U71" s="81" t="str">
        <f>TEXT('MYP Assumptions'!H72,"0.00%")&amp;", CPI"</f>
        <v>2.73%, CPI</v>
      </c>
      <c r="W71" s="83" t="str">
        <f t="shared" si="43"/>
        <v>0.00%</v>
      </c>
      <c r="X71" s="2">
        <f t="shared" si="48"/>
        <v>0</v>
      </c>
      <c r="Y71" s="81" t="str">
        <f>TEXT('MYP Assumptions'!I72,"0.00%")&amp;", CPI"</f>
        <v>2.73%, CPI</v>
      </c>
      <c r="AA71" s="83" t="str">
        <f t="shared" si="44"/>
        <v>0.00%</v>
      </c>
      <c r="AB71" s="2">
        <f t="shared" si="49"/>
        <v>0</v>
      </c>
      <c r="AC71" s="81" t="str">
        <f>TEXT('MYP Assumptions'!J72,"0.00%")&amp;", CPI"</f>
        <v>2.73%, CPI</v>
      </c>
    </row>
    <row r="72" spans="1:29" hidden="1" x14ac:dyDescent="0.25">
      <c r="A72" s="66"/>
      <c r="B72" s="1326" t="s">
        <v>11</v>
      </c>
      <c r="C72" s="1243" t="s">
        <v>10</v>
      </c>
      <c r="D72" s="2">
        <v>0</v>
      </c>
      <c r="E72" s="1248"/>
      <c r="F72" s="2"/>
      <c r="G72" s="1527" t="str">
        <f t="shared" si="39"/>
        <v>0.00%</v>
      </c>
      <c r="H72" s="2">
        <f t="shared" si="50"/>
        <v>0</v>
      </c>
      <c r="I72" s="1240" t="str">
        <f>TEXT('MYP Assumptions'!E72,"0.00%")&amp;", CPI"</f>
        <v>3.11%, CPI</v>
      </c>
      <c r="J72" s="66"/>
      <c r="K72" s="1527" t="str">
        <f t="shared" si="40"/>
        <v>0.00%</v>
      </c>
      <c r="L72" s="2">
        <f t="shared" si="45"/>
        <v>0</v>
      </c>
      <c r="M72" s="1240" t="str">
        <f>TEXT('MYP Assumptions'!F72,"0.00%")&amp;", CPI"</f>
        <v>3.19%, CPI</v>
      </c>
      <c r="O72" s="1527" t="str">
        <f t="shared" si="41"/>
        <v>0.00%</v>
      </c>
      <c r="P72" s="2">
        <f t="shared" si="46"/>
        <v>0</v>
      </c>
      <c r="Q72" s="1240" t="str">
        <f>TEXT('MYP Assumptions'!G72,"0.00%")&amp;", CPI"</f>
        <v>2.86%, CPI</v>
      </c>
      <c r="S72" s="83" t="str">
        <f t="shared" si="42"/>
        <v>0.00%</v>
      </c>
      <c r="T72" s="2">
        <f t="shared" si="47"/>
        <v>0</v>
      </c>
      <c r="U72" s="81" t="str">
        <f>TEXT('MYP Assumptions'!H72,"0.00%")&amp;", CPI"</f>
        <v>2.73%, CPI</v>
      </c>
      <c r="W72" s="83" t="str">
        <f t="shared" si="43"/>
        <v>0.00%</v>
      </c>
      <c r="X72" s="2">
        <f t="shared" si="48"/>
        <v>0</v>
      </c>
      <c r="Y72" s="81" t="str">
        <f>TEXT('MYP Assumptions'!I72,"0.00%")&amp;", CPI"</f>
        <v>2.73%, CPI</v>
      </c>
      <c r="AA72" s="83" t="str">
        <f t="shared" si="44"/>
        <v>0.00%</v>
      </c>
      <c r="AB72" s="2">
        <f t="shared" si="49"/>
        <v>0</v>
      </c>
      <c r="AC72" s="81" t="str">
        <f>TEXT('MYP Assumptions'!J72,"0.00%")&amp;", CPI"</f>
        <v>2.73%, CPI</v>
      </c>
    </row>
    <row r="73" spans="1:29" hidden="1" x14ac:dyDescent="0.25">
      <c r="A73" s="66"/>
      <c r="B73" s="1326" t="s">
        <v>120</v>
      </c>
      <c r="C73" s="1243" t="s">
        <v>121</v>
      </c>
      <c r="D73" s="2">
        <v>0</v>
      </c>
      <c r="E73" s="1248"/>
      <c r="F73" s="2"/>
      <c r="G73" s="1527" t="str">
        <f t="shared" si="39"/>
        <v>0.00%</v>
      </c>
      <c r="H73" s="2">
        <f t="shared" si="50"/>
        <v>0</v>
      </c>
      <c r="I73" s="1240" t="str">
        <f>TEXT('MYP Assumptions'!E72,"0.00%")&amp;", CPI"</f>
        <v>3.11%, CPI</v>
      </c>
      <c r="J73" s="66"/>
      <c r="K73" s="1527" t="str">
        <f t="shared" si="40"/>
        <v>0.00%</v>
      </c>
      <c r="L73" s="2">
        <f t="shared" si="45"/>
        <v>0</v>
      </c>
      <c r="M73" s="1240" t="str">
        <f>TEXT('MYP Assumptions'!F72,"0.00%")&amp;", CPI"</f>
        <v>3.19%, CPI</v>
      </c>
      <c r="O73" s="1527" t="str">
        <f t="shared" si="41"/>
        <v>0.00%</v>
      </c>
      <c r="P73" s="2">
        <f t="shared" si="46"/>
        <v>0</v>
      </c>
      <c r="Q73" s="1240" t="str">
        <f>TEXT('MYP Assumptions'!G72,"0.00%")&amp;", CPI"</f>
        <v>2.86%, CPI</v>
      </c>
      <c r="S73" s="83" t="str">
        <f t="shared" si="42"/>
        <v>0.00%</v>
      </c>
      <c r="T73" s="2">
        <f t="shared" si="47"/>
        <v>0</v>
      </c>
      <c r="U73" s="81" t="str">
        <f>TEXT('MYP Assumptions'!H72,"0.00%")&amp;", CPI"</f>
        <v>2.73%, CPI</v>
      </c>
      <c r="W73" s="83" t="str">
        <f t="shared" si="43"/>
        <v>0.00%</v>
      </c>
      <c r="X73" s="2">
        <f t="shared" si="48"/>
        <v>0</v>
      </c>
      <c r="Y73" s="81" t="str">
        <f>TEXT('MYP Assumptions'!I72,"0.00%")&amp;", CPI"</f>
        <v>2.73%, CPI</v>
      </c>
      <c r="AA73" s="83" t="str">
        <f t="shared" si="44"/>
        <v>0.00%</v>
      </c>
      <c r="AB73" s="2">
        <f t="shared" si="49"/>
        <v>0</v>
      </c>
      <c r="AC73" s="81" t="str">
        <f>TEXT('MYP Assumptions'!J72,"0.00%")&amp;", CPI"</f>
        <v>2.73%, CPI</v>
      </c>
    </row>
    <row r="74" spans="1:29" hidden="1" x14ac:dyDescent="0.25">
      <c r="A74" s="66"/>
      <c r="B74" s="1326" t="s">
        <v>126</v>
      </c>
      <c r="C74" s="1243" t="s">
        <v>127</v>
      </c>
      <c r="D74" s="2">
        <v>0</v>
      </c>
      <c r="E74" s="1248"/>
      <c r="F74" s="2"/>
      <c r="G74" s="1527" t="str">
        <f t="shared" si="39"/>
        <v>0.00%</v>
      </c>
      <c r="H74" s="2">
        <f t="shared" si="50"/>
        <v>0</v>
      </c>
      <c r="I74" s="1240" t="str">
        <f>TEXT('MYP Assumptions'!E72,"0.00%")&amp;", CPI"</f>
        <v>3.11%, CPI</v>
      </c>
      <c r="J74" s="66"/>
      <c r="K74" s="1527" t="str">
        <f t="shared" si="40"/>
        <v>0.00%</v>
      </c>
      <c r="L74" s="2">
        <f t="shared" si="45"/>
        <v>0</v>
      </c>
      <c r="M74" s="1240" t="str">
        <f>TEXT('MYP Assumptions'!F72,"0.00%")&amp;", CPI"</f>
        <v>3.19%, CPI</v>
      </c>
      <c r="O74" s="1527" t="str">
        <f t="shared" si="41"/>
        <v>0.00%</v>
      </c>
      <c r="P74" s="2">
        <f t="shared" si="46"/>
        <v>0</v>
      </c>
      <c r="Q74" s="1240" t="str">
        <f>TEXT('MYP Assumptions'!G72,"0.00%")&amp;", CPI"</f>
        <v>2.86%, CPI</v>
      </c>
      <c r="S74" s="83" t="str">
        <f t="shared" si="42"/>
        <v>0.00%</v>
      </c>
      <c r="T74" s="2">
        <f t="shared" si="47"/>
        <v>0</v>
      </c>
      <c r="U74" s="81" t="str">
        <f>TEXT('MYP Assumptions'!H72,"0.00%")&amp;", CPI"</f>
        <v>2.73%, CPI</v>
      </c>
      <c r="W74" s="83" t="str">
        <f t="shared" si="43"/>
        <v>0.00%</v>
      </c>
      <c r="X74" s="2">
        <f t="shared" si="48"/>
        <v>0</v>
      </c>
      <c r="Y74" s="81" t="str">
        <f>TEXT('MYP Assumptions'!I72,"0.00%")&amp;", CPI"</f>
        <v>2.73%, CPI</v>
      </c>
      <c r="AA74" s="83" t="str">
        <f t="shared" si="44"/>
        <v>0.00%</v>
      </c>
      <c r="AB74" s="2">
        <f t="shared" si="49"/>
        <v>0</v>
      </c>
      <c r="AC74" s="81" t="str">
        <f>TEXT('MYP Assumptions'!J72,"0.00%")&amp;", CPI"</f>
        <v>2.73%, CPI</v>
      </c>
    </row>
    <row r="75" spans="1:29" hidden="1" x14ac:dyDescent="0.25">
      <c r="A75" s="66"/>
      <c r="B75" s="1326" t="s">
        <v>9</v>
      </c>
      <c r="C75" s="1243" t="s">
        <v>8</v>
      </c>
      <c r="D75" s="2">
        <v>0</v>
      </c>
      <c r="E75" s="1248"/>
      <c r="F75" s="2"/>
      <c r="G75" s="1527" t="str">
        <f>IF(D75=0,"0.00%",(H75-D75)/D75)</f>
        <v>0.00%</v>
      </c>
      <c r="H75" s="2">
        <f t="shared" si="50"/>
        <v>0</v>
      </c>
      <c r="I75" s="1240" t="str">
        <f>TEXT('MYP Assumptions'!E72,"0.00%")&amp;", CPI"</f>
        <v>3.11%, CPI</v>
      </c>
      <c r="J75" s="66"/>
      <c r="K75" s="1527" t="str">
        <f t="shared" si="40"/>
        <v>0.00%</v>
      </c>
      <c r="L75" s="2">
        <f t="shared" si="45"/>
        <v>0</v>
      </c>
      <c r="M75" s="1240" t="str">
        <f>TEXT('MYP Assumptions'!F72,"0.00%")&amp;", CPI"</f>
        <v>3.19%, CPI</v>
      </c>
      <c r="O75" s="1527" t="str">
        <f t="shared" si="41"/>
        <v>0.00%</v>
      </c>
      <c r="P75" s="2">
        <f t="shared" si="46"/>
        <v>0</v>
      </c>
      <c r="Q75" s="1240" t="str">
        <f>TEXT('MYP Assumptions'!G72,"0.00%")&amp;", CPI"</f>
        <v>2.86%, CPI</v>
      </c>
      <c r="S75" s="83" t="str">
        <f t="shared" si="42"/>
        <v>0.00%</v>
      </c>
      <c r="T75" s="2">
        <f t="shared" si="47"/>
        <v>0</v>
      </c>
      <c r="U75" s="81" t="str">
        <f>TEXT('MYP Assumptions'!H72,"0.00%")&amp;", CPI"</f>
        <v>2.73%, CPI</v>
      </c>
      <c r="W75" s="83" t="str">
        <f t="shared" si="43"/>
        <v>0.00%</v>
      </c>
      <c r="X75" s="2">
        <f t="shared" si="48"/>
        <v>0</v>
      </c>
      <c r="Y75" s="81" t="str">
        <f>TEXT('MYP Assumptions'!I72,"0.00%")&amp;", CPI"</f>
        <v>2.73%, CPI</v>
      </c>
      <c r="AA75" s="83" t="str">
        <f t="shared" si="44"/>
        <v>0.00%</v>
      </c>
      <c r="AB75" s="2">
        <f t="shared" si="49"/>
        <v>0</v>
      </c>
      <c r="AC75" s="81" t="str">
        <f>TEXT('MYP Assumptions'!J72,"0.00%")&amp;", CPI"</f>
        <v>2.73%, CPI</v>
      </c>
    </row>
    <row r="76" spans="1:29" hidden="1" x14ac:dyDescent="0.25">
      <c r="A76" s="66"/>
      <c r="B76" s="1326" t="s">
        <v>122</v>
      </c>
      <c r="C76" s="1243" t="s">
        <v>123</v>
      </c>
      <c r="D76" s="2">
        <v>0</v>
      </c>
      <c r="E76" s="1248"/>
      <c r="F76" s="2"/>
      <c r="G76" s="1527" t="str">
        <f t="shared" ref="G76:G82" si="51">IF(D76=0,"0.00%",(H76-D76)/D76)</f>
        <v>0.00%</v>
      </c>
      <c r="H76" s="2">
        <f t="shared" si="50"/>
        <v>0</v>
      </c>
      <c r="I76" s="1240" t="str">
        <f>TEXT('MYP Assumptions'!E72,"0.00%")&amp;", CPI"</f>
        <v>3.11%, CPI</v>
      </c>
      <c r="J76" s="66"/>
      <c r="K76" s="1527" t="str">
        <f t="shared" si="40"/>
        <v>0.00%</v>
      </c>
      <c r="L76" s="2">
        <f t="shared" si="45"/>
        <v>0</v>
      </c>
      <c r="M76" s="1240" t="str">
        <f>TEXT('MYP Assumptions'!F72,"0.00%")&amp;", CPI"</f>
        <v>3.19%, CPI</v>
      </c>
      <c r="O76" s="1527" t="str">
        <f t="shared" si="41"/>
        <v>0.00%</v>
      </c>
      <c r="P76" s="2">
        <f t="shared" si="46"/>
        <v>0</v>
      </c>
      <c r="Q76" s="1240" t="str">
        <f>TEXT('MYP Assumptions'!G72,"0.00%")&amp;", CPI"</f>
        <v>2.86%, CPI</v>
      </c>
      <c r="S76" s="83" t="str">
        <f t="shared" si="42"/>
        <v>0.00%</v>
      </c>
      <c r="T76" s="2">
        <f t="shared" si="47"/>
        <v>0</v>
      </c>
      <c r="U76" s="81" t="str">
        <f>TEXT('MYP Assumptions'!H72,"0.00%")&amp;", CPI"</f>
        <v>2.73%, CPI</v>
      </c>
      <c r="W76" s="83" t="str">
        <f t="shared" si="43"/>
        <v>0.00%</v>
      </c>
      <c r="X76" s="2">
        <f t="shared" si="48"/>
        <v>0</v>
      </c>
      <c r="Y76" s="81" t="str">
        <f>TEXT('MYP Assumptions'!I72,"0.00%")&amp;", CPI"</f>
        <v>2.73%, CPI</v>
      </c>
      <c r="AA76" s="83" t="str">
        <f t="shared" si="44"/>
        <v>0.00%</v>
      </c>
      <c r="AB76" s="2">
        <f t="shared" si="49"/>
        <v>0</v>
      </c>
      <c r="AC76" s="81" t="str">
        <f>TEXT('MYP Assumptions'!J72,"0.00%")&amp;", CPI"</f>
        <v>2.73%, CPI</v>
      </c>
    </row>
    <row r="77" spans="1:29" hidden="1" x14ac:dyDescent="0.25">
      <c r="A77" s="66"/>
      <c r="B77" s="1326" t="s">
        <v>7</v>
      </c>
      <c r="C77" s="1243" t="s">
        <v>6</v>
      </c>
      <c r="D77" s="2">
        <v>0</v>
      </c>
      <c r="E77" s="1248"/>
      <c r="F77" s="2"/>
      <c r="G77" s="1527" t="str">
        <f t="shared" si="51"/>
        <v>0.00%</v>
      </c>
      <c r="H77" s="2">
        <f>ROUND(D77*(LEFT(I77,5)+1),0)</f>
        <v>0</v>
      </c>
      <c r="I77" s="1240" t="str">
        <f>TEXT('MYP Assumptions'!E72,"0.00%")&amp;", CPI"</f>
        <v>3.11%, CPI</v>
      </c>
      <c r="J77" s="66"/>
      <c r="K77" s="1527" t="str">
        <f t="shared" si="40"/>
        <v>0.00%</v>
      </c>
      <c r="L77" s="2">
        <f t="shared" si="45"/>
        <v>0</v>
      </c>
      <c r="M77" s="1240" t="str">
        <f>TEXT('MYP Assumptions'!F72,"0.00%")&amp;", CPI"</f>
        <v>3.19%, CPI</v>
      </c>
      <c r="O77" s="1527" t="str">
        <f t="shared" si="41"/>
        <v>0.00%</v>
      </c>
      <c r="P77" s="2">
        <f t="shared" si="46"/>
        <v>0</v>
      </c>
      <c r="Q77" s="1240" t="str">
        <f>TEXT('MYP Assumptions'!G72,"0.00%")&amp;", CPI"</f>
        <v>2.86%, CPI</v>
      </c>
      <c r="S77" s="83" t="str">
        <f t="shared" si="42"/>
        <v>0.00%</v>
      </c>
      <c r="T77" s="2">
        <f t="shared" si="47"/>
        <v>0</v>
      </c>
      <c r="U77" s="81" t="str">
        <f>TEXT('MYP Assumptions'!H72,"0.00%")&amp;", CPI"</f>
        <v>2.73%, CPI</v>
      </c>
      <c r="W77" s="83" t="str">
        <f t="shared" si="43"/>
        <v>0.00%</v>
      </c>
      <c r="X77" s="2">
        <f t="shared" si="48"/>
        <v>0</v>
      </c>
      <c r="Y77" s="81" t="str">
        <f>TEXT('MYP Assumptions'!I72,"0.00%")&amp;", CPI"</f>
        <v>2.73%, CPI</v>
      </c>
      <c r="AA77" s="83" t="str">
        <f t="shared" si="44"/>
        <v>0.00%</v>
      </c>
      <c r="AB77" s="2">
        <f t="shared" si="49"/>
        <v>0</v>
      </c>
      <c r="AC77" s="81" t="str">
        <f>TEXT('MYP Assumptions'!J72,"0.00%")&amp;", CPI"</f>
        <v>2.73%, CPI</v>
      </c>
    </row>
    <row r="78" spans="1:29" hidden="1" x14ac:dyDescent="0.25">
      <c r="A78" s="66"/>
      <c r="B78" s="1326" t="s">
        <v>5</v>
      </c>
      <c r="C78" s="1243" t="s">
        <v>4</v>
      </c>
      <c r="D78" s="2">
        <v>0</v>
      </c>
      <c r="E78" s="1248" t="s">
        <v>765</v>
      </c>
      <c r="F78" s="2"/>
      <c r="G78" s="1527" t="str">
        <f t="shared" si="51"/>
        <v>0.00%</v>
      </c>
      <c r="H78" s="2">
        <f>ROUND(D78*(LEFT(I78,5)+1),0)</f>
        <v>0</v>
      </c>
      <c r="I78" s="1240" t="str">
        <f>TEXT('MYP Assumptions'!E72,"0.00%")&amp;", CPI"</f>
        <v>3.11%, CPI</v>
      </c>
      <c r="J78" s="66"/>
      <c r="K78" s="1527" t="str">
        <f t="shared" si="40"/>
        <v>0.00%</v>
      </c>
      <c r="L78" s="2">
        <f t="shared" si="45"/>
        <v>0</v>
      </c>
      <c r="M78" s="1240" t="str">
        <f>TEXT('MYP Assumptions'!F72,"0.00%")&amp;", CPI"</f>
        <v>3.19%, CPI</v>
      </c>
      <c r="O78" s="1527" t="str">
        <f t="shared" si="41"/>
        <v>0.00%</v>
      </c>
      <c r="P78" s="2">
        <f t="shared" si="46"/>
        <v>0</v>
      </c>
      <c r="Q78" s="1240" t="str">
        <f>TEXT('MYP Assumptions'!G72,"0.00%")&amp;", CPI"</f>
        <v>2.86%, CPI</v>
      </c>
      <c r="S78" s="83" t="str">
        <f t="shared" si="42"/>
        <v>0.00%</v>
      </c>
      <c r="T78" s="2">
        <f t="shared" si="47"/>
        <v>0</v>
      </c>
      <c r="U78" s="81" t="str">
        <f>TEXT('MYP Assumptions'!H72,"0.00%")&amp;", CPI"</f>
        <v>2.73%, CPI</v>
      </c>
      <c r="W78" s="83" t="str">
        <f t="shared" si="43"/>
        <v>0.00%</v>
      </c>
      <c r="X78" s="2">
        <f t="shared" si="48"/>
        <v>0</v>
      </c>
      <c r="Y78" s="81" t="str">
        <f>TEXT('MYP Assumptions'!I72,"0.00%")&amp;", CPI"</f>
        <v>2.73%, CPI</v>
      </c>
      <c r="AA78" s="83" t="str">
        <f t="shared" si="44"/>
        <v>0.00%</v>
      </c>
      <c r="AB78" s="2">
        <f t="shared" si="49"/>
        <v>0</v>
      </c>
      <c r="AC78" s="81" t="str">
        <f>TEXT('MYP Assumptions'!J72,"0.00%")&amp;", CPI"</f>
        <v>2.73%, CPI</v>
      </c>
    </row>
    <row r="79" spans="1:29" hidden="1" x14ac:dyDescent="0.25">
      <c r="A79" s="66"/>
      <c r="B79" s="1326" t="s">
        <v>3</v>
      </c>
      <c r="C79" s="1243" t="s">
        <v>2</v>
      </c>
      <c r="D79" s="2">
        <v>0</v>
      </c>
      <c r="E79" s="1248"/>
      <c r="F79" s="2"/>
      <c r="G79" s="1527" t="str">
        <f t="shared" si="51"/>
        <v>0.00%</v>
      </c>
      <c r="H79" s="2">
        <f>ROUND(D79*(LEFT(I79,5)+1),0)</f>
        <v>0</v>
      </c>
      <c r="I79" s="1240" t="str">
        <f>TEXT('MYP Assumptions'!E72,"0.00%")&amp;", CPI"</f>
        <v>3.11%, CPI</v>
      </c>
      <c r="J79" s="66"/>
      <c r="K79" s="1527" t="str">
        <f t="shared" si="40"/>
        <v>0.00%</v>
      </c>
      <c r="L79" s="2">
        <f t="shared" si="45"/>
        <v>0</v>
      </c>
      <c r="M79" s="1240" t="str">
        <f>TEXT('MYP Assumptions'!F72,"0.00%")&amp;", CPI"</f>
        <v>3.19%, CPI</v>
      </c>
      <c r="O79" s="1527" t="str">
        <f t="shared" si="41"/>
        <v>0.00%</v>
      </c>
      <c r="P79" s="2">
        <f t="shared" si="46"/>
        <v>0</v>
      </c>
      <c r="Q79" s="1240" t="str">
        <f>TEXT('MYP Assumptions'!G72,"0.00%")&amp;", CPI"</f>
        <v>2.86%, CPI</v>
      </c>
      <c r="S79" s="83" t="str">
        <f t="shared" si="42"/>
        <v>0.00%</v>
      </c>
      <c r="T79" s="2">
        <f t="shared" si="47"/>
        <v>0</v>
      </c>
      <c r="U79" s="81" t="str">
        <f>TEXT('MYP Assumptions'!H72,"0.00%")&amp;", CPI"</f>
        <v>2.73%, CPI</v>
      </c>
      <c r="W79" s="83" t="str">
        <f t="shared" si="43"/>
        <v>0.00%</v>
      </c>
      <c r="X79" s="2">
        <f t="shared" si="48"/>
        <v>0</v>
      </c>
      <c r="Y79" s="81" t="str">
        <f>TEXT('MYP Assumptions'!I72,"0.00%")&amp;", CPI"</f>
        <v>2.73%, CPI</v>
      </c>
      <c r="AA79" s="83" t="str">
        <f t="shared" si="44"/>
        <v>0.00%</v>
      </c>
      <c r="AB79" s="2">
        <f t="shared" si="49"/>
        <v>0</v>
      </c>
      <c r="AC79" s="81" t="str">
        <f>TEXT('MYP Assumptions'!J72,"0.00%")&amp;", CPI"</f>
        <v>2.73%, CPI</v>
      </c>
    </row>
    <row r="80" spans="1:29" hidden="1" x14ac:dyDescent="0.25">
      <c r="A80" s="66"/>
      <c r="B80" s="1326" t="s">
        <v>124</v>
      </c>
      <c r="C80" s="1243" t="s">
        <v>125</v>
      </c>
      <c r="D80" s="2">
        <v>0</v>
      </c>
      <c r="E80" s="1248"/>
      <c r="F80" s="2"/>
      <c r="G80" s="1527" t="str">
        <f t="shared" si="51"/>
        <v>0.00%</v>
      </c>
      <c r="H80" s="2">
        <f>ROUND(D80*(LEFT(I80,5)+1),0)</f>
        <v>0</v>
      </c>
      <c r="I80" s="1240" t="str">
        <f>TEXT('MYP Assumptions'!E72,"0.00%")&amp;", CPI"</f>
        <v>3.11%, CPI</v>
      </c>
      <c r="J80" s="66"/>
      <c r="K80" s="1527" t="str">
        <f t="shared" si="40"/>
        <v>0.00%</v>
      </c>
      <c r="L80" s="2">
        <f t="shared" si="45"/>
        <v>0</v>
      </c>
      <c r="M80" s="1240" t="str">
        <f>TEXT('MYP Assumptions'!F72,"0.00%")&amp;", CPI"</f>
        <v>3.19%, CPI</v>
      </c>
      <c r="O80" s="1527" t="str">
        <f t="shared" si="41"/>
        <v>0.00%</v>
      </c>
      <c r="P80" s="2">
        <f t="shared" si="46"/>
        <v>0</v>
      </c>
      <c r="Q80" s="1240" t="str">
        <f>TEXT('MYP Assumptions'!G72,"0.00%")&amp;", CPI"</f>
        <v>2.86%, CPI</v>
      </c>
      <c r="S80" s="83" t="str">
        <f t="shared" si="42"/>
        <v>0.00%</v>
      </c>
      <c r="T80" s="2">
        <f t="shared" si="47"/>
        <v>0</v>
      </c>
      <c r="U80" s="81" t="str">
        <f>TEXT('MYP Assumptions'!H72,"0.00%")&amp;", CPI"</f>
        <v>2.73%, CPI</v>
      </c>
      <c r="W80" s="83" t="str">
        <f t="shared" si="43"/>
        <v>0.00%</v>
      </c>
      <c r="X80" s="2">
        <f t="shared" si="48"/>
        <v>0</v>
      </c>
      <c r="Y80" s="81" t="str">
        <f>TEXT('MYP Assumptions'!I72,"0.00%")&amp;", CPI"</f>
        <v>2.73%, CPI</v>
      </c>
      <c r="AA80" s="83" t="str">
        <f t="shared" si="44"/>
        <v>0.00%</v>
      </c>
      <c r="AB80" s="2">
        <f t="shared" si="49"/>
        <v>0</v>
      </c>
      <c r="AC80" s="81" t="str">
        <f>TEXT('MYP Assumptions'!J72,"0.00%")&amp;", CPI"</f>
        <v>2.73%, CPI</v>
      </c>
    </row>
    <row r="81" spans="1:29" hidden="1" x14ac:dyDescent="0.25">
      <c r="A81" s="66"/>
      <c r="B81" s="1326" t="s">
        <v>1</v>
      </c>
      <c r="D81" s="2">
        <f>'RS 3010-ALL'!AF80</f>
        <v>0</v>
      </c>
      <c r="E81" s="1248"/>
      <c r="F81" s="2"/>
      <c r="G81" s="1527" t="str">
        <f t="shared" si="51"/>
        <v>0.00%</v>
      </c>
      <c r="H81" s="2">
        <f>ROUND(D81*(LEFT(I81,5)+1),0)</f>
        <v>0</v>
      </c>
      <c r="I81" s="1240" t="str">
        <f>TEXT('MYP Assumptions'!E72,"0.00%")&amp;", CPI"</f>
        <v>3.11%, CPI</v>
      </c>
      <c r="J81" s="66"/>
      <c r="K81" s="1527" t="str">
        <f t="shared" si="40"/>
        <v>0.00%</v>
      </c>
      <c r="L81" s="2">
        <f t="shared" si="45"/>
        <v>0</v>
      </c>
      <c r="M81" s="1240" t="str">
        <f>TEXT('MYP Assumptions'!F72,"0.00%")&amp;", CPI"</f>
        <v>3.19%, CPI</v>
      </c>
      <c r="O81" s="1527" t="str">
        <f t="shared" si="41"/>
        <v>0.00%</v>
      </c>
      <c r="P81" s="2">
        <f t="shared" si="46"/>
        <v>0</v>
      </c>
      <c r="Q81" s="1240" t="str">
        <f>TEXT('MYP Assumptions'!G72,"0.00%")&amp;", CPI"</f>
        <v>2.86%, CPI</v>
      </c>
      <c r="S81" s="83" t="str">
        <f t="shared" si="42"/>
        <v>0.00%</v>
      </c>
      <c r="T81" s="2">
        <f t="shared" si="47"/>
        <v>0</v>
      </c>
      <c r="U81" s="81" t="str">
        <f>TEXT('MYP Assumptions'!H72,"0.00%")&amp;", CPI"</f>
        <v>2.73%, CPI</v>
      </c>
      <c r="W81" s="83" t="str">
        <f t="shared" si="43"/>
        <v>0.00%</v>
      </c>
      <c r="X81" s="2">
        <f t="shared" si="48"/>
        <v>0</v>
      </c>
      <c r="Y81" s="81" t="str">
        <f>TEXT('MYP Assumptions'!I72,"0.00%")&amp;", CPI"</f>
        <v>2.73%, CPI</v>
      </c>
      <c r="AA81" s="83" t="str">
        <f t="shared" si="44"/>
        <v>0.00%</v>
      </c>
      <c r="AB81" s="2">
        <f t="shared" si="49"/>
        <v>0</v>
      </c>
      <c r="AC81" s="81" t="str">
        <f>TEXT('MYP Assumptions'!J72,"0.00%")&amp;", CPI"</f>
        <v>2.73%, CPI</v>
      </c>
    </row>
    <row r="82" spans="1:29" x14ac:dyDescent="0.25">
      <c r="A82" s="29"/>
      <c r="D82" s="8">
        <f>SUM(D69:D81)</f>
        <v>1748</v>
      </c>
      <c r="E82" s="1248"/>
      <c r="F82" s="2"/>
      <c r="G82" s="1527">
        <f t="shared" si="51"/>
        <v>-1</v>
      </c>
      <c r="H82" s="8">
        <f>SUM(H69:H81)</f>
        <v>0</v>
      </c>
      <c r="I82" s="1882">
        <f>+H82-D82</f>
        <v>-1748</v>
      </c>
      <c r="J82" s="29"/>
      <c r="K82" s="1527" t="str">
        <f t="shared" si="40"/>
        <v>0.00%</v>
      </c>
      <c r="L82" s="8">
        <f>SUM(L69:L81)</f>
        <v>0</v>
      </c>
      <c r="M82" s="1882">
        <f>+L82-H82</f>
        <v>0</v>
      </c>
      <c r="O82" s="1527" t="str">
        <f t="shared" si="41"/>
        <v>0.00%</v>
      </c>
      <c r="P82" s="8">
        <f>SUM(P69:P81)</f>
        <v>0</v>
      </c>
      <c r="Q82" s="1882">
        <f>+P82-L82</f>
        <v>0</v>
      </c>
      <c r="S82" s="83" t="str">
        <f t="shared" si="42"/>
        <v>0.00%</v>
      </c>
      <c r="T82" s="8">
        <f>SUM(T69:T81)</f>
        <v>0</v>
      </c>
      <c r="U82" s="73"/>
      <c r="W82" s="83" t="str">
        <f t="shared" si="43"/>
        <v>0.00%</v>
      </c>
      <c r="X82" s="8">
        <f>SUM(X69:X81)</f>
        <v>0</v>
      </c>
      <c r="Y82" s="73"/>
      <c r="AA82" s="83" t="str">
        <f t="shared" si="44"/>
        <v>0.00%</v>
      </c>
      <c r="AB82" s="8">
        <f>SUM(AB69:AB81)</f>
        <v>0</v>
      </c>
      <c r="AC82" s="73"/>
    </row>
    <row r="83" spans="1:29" x14ac:dyDescent="0.25">
      <c r="A83" s="66"/>
      <c r="B83" s="1323"/>
      <c r="E83" s="1248"/>
      <c r="F83" s="2"/>
      <c r="G83" s="1527"/>
      <c r="H83" s="2"/>
      <c r="I83" s="1257"/>
      <c r="J83" s="66"/>
      <c r="L83" s="2"/>
      <c r="M83" s="1335"/>
      <c r="Q83" s="1335"/>
      <c r="T83" s="2"/>
      <c r="U83" s="73"/>
      <c r="X83" s="2"/>
      <c r="Y83" s="73"/>
      <c r="AB83" s="2"/>
      <c r="AC83" s="73"/>
    </row>
    <row r="84" spans="1:29" x14ac:dyDescent="0.25">
      <c r="A84" s="66"/>
      <c r="E84" s="1249"/>
      <c r="F84" s="2"/>
      <c r="H84" s="2"/>
      <c r="I84" s="1257"/>
      <c r="J84" s="66"/>
      <c r="L84" s="2"/>
      <c r="M84" s="1335"/>
      <c r="Q84" s="1335"/>
      <c r="T84" s="2"/>
      <c r="U84" s="73"/>
      <c r="X84" s="2"/>
      <c r="Y84" s="73"/>
      <c r="AB84" s="2"/>
      <c r="AC84" s="73"/>
    </row>
    <row r="85" spans="1:29" x14ac:dyDescent="0.25">
      <c r="A85" s="29"/>
      <c r="B85" s="1323" t="s">
        <v>0</v>
      </c>
      <c r="D85" s="8">
        <f>SUM(D82,D66,D55,D13)</f>
        <v>150244.20000000001</v>
      </c>
      <c r="E85" s="1249"/>
      <c r="F85" s="2"/>
      <c r="G85" s="1527">
        <f>IF(D85=0,"0.00%",(H85-D85)/D85)</f>
        <v>-0.2697887838598762</v>
      </c>
      <c r="H85" s="8">
        <f>SUM(H82,H66,H55,H13)</f>
        <v>109710</v>
      </c>
      <c r="I85" s="1258"/>
      <c r="J85" s="29"/>
      <c r="K85" s="1527">
        <f>IF(H85=0,"0.00%",(L85-H85)/H85)</f>
        <v>0</v>
      </c>
      <c r="L85" s="8">
        <f>SUM(L82,L66,L55,L13)</f>
        <v>109710</v>
      </c>
      <c r="M85" s="1335"/>
      <c r="O85" s="1527">
        <f>IF(L85=0,"0.00%",(P85-L85)/L85)</f>
        <v>0</v>
      </c>
      <c r="P85" s="8">
        <f>SUM(P82,P66,P55,P13)</f>
        <v>109710</v>
      </c>
      <c r="Q85" s="1335"/>
      <c r="S85" s="83">
        <f>IF(P85=0,"0.00%",(T85-P85)/P85)</f>
        <v>1.037280102087321E-2</v>
      </c>
      <c r="T85" s="8">
        <f>SUM(T82,T66,T55,T13)</f>
        <v>110848</v>
      </c>
      <c r="U85" s="73"/>
      <c r="W85" s="83">
        <f>IF(T85=0,"0.00%",(X85-T85)/T85)</f>
        <v>2.7605369515011548E-2</v>
      </c>
      <c r="X85" s="8">
        <f>SUM(X82,X66,X55,X13)</f>
        <v>113908</v>
      </c>
      <c r="Y85" s="73"/>
      <c r="AA85" s="83">
        <f>IF(X85=0,"0.00%",(AB85-X85)/X85)</f>
        <v>0.36386381992485162</v>
      </c>
      <c r="AB85" s="8">
        <f>SUM(AB82,AB66,AB55,AB13)</f>
        <v>155355</v>
      </c>
      <c r="AC85" s="73"/>
    </row>
    <row r="86" spans="1:29" x14ac:dyDescent="0.25">
      <c r="A86" s="66"/>
      <c r="E86" s="1249"/>
      <c r="F86" s="2"/>
      <c r="H86" s="2"/>
      <c r="I86" s="1257"/>
      <c r="J86" s="66"/>
      <c r="L86" s="2"/>
      <c r="M86" s="1335"/>
      <c r="Q86" s="1335"/>
      <c r="T86" s="2"/>
      <c r="U86" s="73"/>
      <c r="X86" s="2"/>
      <c r="Y86" s="73"/>
      <c r="AB86" s="2"/>
      <c r="AC86" s="73"/>
    </row>
    <row r="87" spans="1:29" x14ac:dyDescent="0.25">
      <c r="A87" s="66"/>
      <c r="B87" s="1323" t="s">
        <v>138</v>
      </c>
      <c r="D87" s="3">
        <f>D11-D85</f>
        <v>0</v>
      </c>
      <c r="E87" s="1249"/>
      <c r="G87" s="1527" t="str">
        <f>IF(D87=0,"0.00%",(H87-D87)/D87)</f>
        <v>0.00%</v>
      </c>
      <c r="H87" s="3">
        <f>H11-H85</f>
        <v>0</v>
      </c>
      <c r="I87" s="1257"/>
      <c r="J87" s="66"/>
      <c r="K87" s="1527" t="str">
        <f>IF(H87=0,"0.00%",(L87-H87)/H87)</f>
        <v>0.00%</v>
      </c>
      <c r="L87" s="3">
        <f>L11-L85</f>
        <v>0</v>
      </c>
      <c r="M87" s="1335"/>
      <c r="O87" s="1527" t="str">
        <f>IF(L87=0,"0.00%",(P87-L87)/L87)</f>
        <v>0.00%</v>
      </c>
      <c r="P87" s="3">
        <f>P11-P85</f>
        <v>0</v>
      </c>
      <c r="Q87" s="1335"/>
      <c r="S87" s="83" t="str">
        <f>IF(P87=0,"0.00%",(T87-P87)/P87)</f>
        <v>0.00%</v>
      </c>
      <c r="T87" s="3">
        <f>T11-T85</f>
        <v>-1138</v>
      </c>
      <c r="U87" s="73"/>
      <c r="W87" s="83">
        <f>IF(T87=0,"0.00%",(X87-T87)/T87)</f>
        <v>2.6889279437609841</v>
      </c>
      <c r="X87" s="3">
        <f>X11-X85</f>
        <v>-4198</v>
      </c>
      <c r="Y87" s="73"/>
      <c r="AA87" s="83">
        <f>IF(X87=0,"0.00%",(AB87-X87)/X87)</f>
        <v>9.8730347784659358</v>
      </c>
      <c r="AB87" s="3">
        <f>AB11-AB85</f>
        <v>-45645</v>
      </c>
      <c r="AC87" s="73"/>
    </row>
    <row r="88" spans="1:29" x14ac:dyDescent="0.25">
      <c r="B88" s="1323"/>
      <c r="C88" s="1317"/>
      <c r="D88" s="3"/>
      <c r="E88" s="1249"/>
      <c r="H88" s="3"/>
      <c r="I88" s="1257"/>
      <c r="J88" s="66"/>
      <c r="L88" s="3"/>
      <c r="M88" s="1335"/>
      <c r="P88" s="3"/>
      <c r="Q88" s="1335"/>
      <c r="T88" s="44"/>
      <c r="U88" s="73"/>
      <c r="X88" s="44"/>
      <c r="Y88" s="73"/>
      <c r="AB88" s="44"/>
      <c r="AC88" s="73"/>
    </row>
    <row r="89" spans="1:29" x14ac:dyDescent="0.25">
      <c r="B89" s="1323" t="s">
        <v>136</v>
      </c>
      <c r="C89" s="1319"/>
      <c r="D89" s="3">
        <f>D7+D87</f>
        <v>0</v>
      </c>
      <c r="G89" s="1527" t="str">
        <f>IF(D89=0,"0.00%",(H89-D89)/D89)</f>
        <v>0.00%</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-1138</v>
      </c>
      <c r="U89" s="73"/>
      <c r="W89" s="83">
        <f>IF(T89=0,"0.00%",(X89-T89)/T89)</f>
        <v>3.6889279437609841</v>
      </c>
      <c r="X89" s="49">
        <f>X7+X87</f>
        <v>-5336</v>
      </c>
      <c r="Y89" s="73"/>
      <c r="AA89" s="83">
        <f>IF(X89=0,"0.00%",(AB89-X89)/X89)</f>
        <v>8.5541604197901044</v>
      </c>
      <c r="AB89" s="49">
        <f>AB7+AB87</f>
        <v>-50981</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32"/>
      <c r="B95" s="1329"/>
      <c r="C95" s="1330" t="s">
        <v>226</v>
      </c>
      <c r="D95" s="135">
        <f>+D82+D66+D53+D41+D30</f>
        <v>147298.20000000001</v>
      </c>
      <c r="E95" s="1251"/>
      <c r="G95" s="1541" t="s">
        <v>226</v>
      </c>
      <c r="H95" s="135">
        <f>+H82+H66+H53+H41+H30</f>
        <v>105046</v>
      </c>
      <c r="I95" s="1260"/>
      <c r="J95" s="136"/>
      <c r="K95" s="1541" t="s">
        <v>226</v>
      </c>
      <c r="L95" s="135">
        <f>+L82+L66+L53+L41+L30</f>
        <v>105046</v>
      </c>
      <c r="M95" s="1338"/>
      <c r="O95" s="1541" t="s">
        <v>226</v>
      </c>
      <c r="P95" s="135">
        <f>+P82+P66+P53+P41+P30</f>
        <v>105046</v>
      </c>
      <c r="Q95" s="1338"/>
      <c r="R95" s="140"/>
      <c r="S95" s="134" t="s">
        <v>226</v>
      </c>
      <c r="T95" s="135">
        <f>+T82+T66+T53+T41+T30</f>
        <v>108697</v>
      </c>
      <c r="U95" s="139"/>
      <c r="W95" s="134" t="s">
        <v>226</v>
      </c>
      <c r="X95" s="135">
        <f>+X82+X66+X53+X41+X30</f>
        <v>111757</v>
      </c>
      <c r="Y95" s="139"/>
      <c r="AA95" s="134" t="s">
        <v>226</v>
      </c>
      <c r="AB95" s="135">
        <f>+AB82+AB66+AB53+AB41+AB30</f>
        <v>114943</v>
      </c>
      <c r="AC95" s="139"/>
    </row>
    <row r="96" spans="1:29" s="138" customFormat="1" ht="11.25" x14ac:dyDescent="0.2">
      <c r="A96" s="141"/>
      <c r="B96" s="1329"/>
      <c r="C96" s="1331" t="s">
        <v>227</v>
      </c>
      <c r="D96" s="143">
        <f>+D13</f>
        <v>2946</v>
      </c>
      <c r="E96" s="1252"/>
      <c r="F96" s="145"/>
      <c r="G96" s="1546" t="s">
        <v>227</v>
      </c>
      <c r="H96" s="143">
        <f>+H13</f>
        <v>4664</v>
      </c>
      <c r="I96" s="1261"/>
      <c r="J96" s="144"/>
      <c r="K96" s="1546" t="s">
        <v>227</v>
      </c>
      <c r="L96" s="143">
        <f>+L13</f>
        <v>4664</v>
      </c>
      <c r="M96" s="1338"/>
      <c r="O96" s="1546" t="s">
        <v>227</v>
      </c>
      <c r="P96" s="143">
        <f>+P13</f>
        <v>4664</v>
      </c>
      <c r="Q96" s="1251"/>
      <c r="R96" s="140"/>
      <c r="S96" s="142" t="s">
        <v>227</v>
      </c>
      <c r="T96" s="143">
        <f>+T13</f>
        <v>2151</v>
      </c>
      <c r="W96" s="142" t="s">
        <v>227</v>
      </c>
      <c r="X96" s="143">
        <f>+X13</f>
        <v>2151</v>
      </c>
      <c r="AA96" s="142" t="s">
        <v>227</v>
      </c>
      <c r="AB96" s="143">
        <f>+AB13</f>
        <v>40412</v>
      </c>
    </row>
    <row r="97" spans="1:28" s="138" customFormat="1" ht="11.25" x14ac:dyDescent="0.2">
      <c r="A97" s="141"/>
      <c r="B97" s="1329"/>
      <c r="C97" s="1331"/>
      <c r="D97" s="146">
        <f>+D95+D96</f>
        <v>150244.20000000001</v>
      </c>
      <c r="E97" s="1252"/>
      <c r="F97" s="145"/>
      <c r="G97" s="1546"/>
      <c r="H97" s="146">
        <f>+H95+H96</f>
        <v>109710</v>
      </c>
      <c r="I97" s="1261"/>
      <c r="J97" s="144"/>
      <c r="K97" s="1546"/>
      <c r="L97" s="146">
        <f>+L95+L96</f>
        <v>109710</v>
      </c>
      <c r="M97" s="1251"/>
      <c r="O97" s="1546"/>
      <c r="P97" s="146">
        <f>+P95+P96</f>
        <v>109710</v>
      </c>
      <c r="Q97" s="1251"/>
      <c r="R97" s="140"/>
      <c r="S97" s="142"/>
      <c r="T97" s="146">
        <f>+T95+T96</f>
        <v>110848</v>
      </c>
      <c r="W97" s="142"/>
      <c r="X97" s="146">
        <f>+X95+X96</f>
        <v>113908</v>
      </c>
      <c r="AA97" s="142"/>
      <c r="AB97" s="146">
        <f>+AB95+AB96</f>
        <v>155355</v>
      </c>
    </row>
    <row r="98" spans="1:28" ht="15" customHeight="1" x14ac:dyDescent="0.25">
      <c r="A98" s="66"/>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66"/>
      <c r="B99" s="1332"/>
      <c r="C99" s="1332"/>
      <c r="D99" s="36"/>
      <c r="E99" s="1249"/>
      <c r="F99" s="2"/>
    </row>
    <row r="100" spans="1:28" x14ac:dyDescent="0.25">
      <c r="A100" s="66"/>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43" orientation="portrait" r:id="rId1"/>
  <headerFooter>
    <oddHeader>&amp;L&amp;F</oddHead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44"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9.42578125" style="1550" bestFit="1"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20" t="s">
        <v>229</v>
      </c>
      <c r="D1" s="1502"/>
      <c r="E1" s="1497"/>
      <c r="F1" s="1498"/>
      <c r="G1" s="1555"/>
      <c r="H1" s="1503"/>
      <c r="I1" s="1497"/>
      <c r="K1" s="1577"/>
      <c r="L1" s="1499"/>
      <c r="M1" s="1497"/>
      <c r="N1" s="59"/>
      <c r="O1" s="1577"/>
      <c r="P1" s="1499"/>
      <c r="Q1" s="1497"/>
      <c r="T1" s="86">
        <v>0</v>
      </c>
      <c r="U1" s="98"/>
      <c r="X1" s="86">
        <v>0</v>
      </c>
      <c r="Y1" s="98"/>
      <c r="AB1" s="86">
        <v>0</v>
      </c>
      <c r="AC1" s="98"/>
    </row>
    <row r="2" spans="1:29" ht="17.25" x14ac:dyDescent="0.4">
      <c r="B2" s="1319" t="s">
        <v>59</v>
      </c>
      <c r="C2" s="1320">
        <v>5640</v>
      </c>
      <c r="D2" s="1503"/>
      <c r="E2" s="1497"/>
      <c r="F2" s="1498"/>
      <c r="G2" s="1556"/>
      <c r="H2" s="1503"/>
      <c r="I2" s="1497"/>
      <c r="K2" s="1577"/>
      <c r="L2" s="1500"/>
      <c r="M2" s="1497"/>
      <c r="N2" s="59"/>
      <c r="O2" s="1577"/>
      <c r="P2" s="1500"/>
      <c r="Q2" s="1497"/>
      <c r="T2" s="87">
        <v>0</v>
      </c>
      <c r="U2" s="98"/>
      <c r="X2" s="87">
        <v>0</v>
      </c>
      <c r="Y2" s="98"/>
      <c r="AB2" s="87">
        <v>0</v>
      </c>
      <c r="AC2" s="98"/>
    </row>
    <row r="3" spans="1:29" x14ac:dyDescent="0.25">
      <c r="D3" s="1504"/>
      <c r="E3" s="1501"/>
      <c r="F3" s="1505"/>
      <c r="G3" s="1557"/>
      <c r="H3" s="1504"/>
      <c r="I3" s="1501"/>
      <c r="K3" s="1577"/>
      <c r="L3" s="1499"/>
      <c r="M3" s="1435"/>
      <c r="N3" s="59"/>
      <c r="O3" s="1577"/>
      <c r="P3" s="1499"/>
      <c r="Q3" s="1435"/>
      <c r="T3" s="86">
        <f>SUM(T1:T2)</f>
        <v>0</v>
      </c>
      <c r="U3" s="51"/>
      <c r="X3" s="86">
        <f>SUM(X1:X2)</f>
        <v>0</v>
      </c>
      <c r="Y3" s="51"/>
      <c r="AB3" s="86">
        <f>SUM(AB1:AB2)</f>
        <v>0</v>
      </c>
      <c r="AC3" s="51"/>
    </row>
    <row r="4" spans="1:29" x14ac:dyDescent="0.25">
      <c r="D4" s="66"/>
      <c r="E4" s="1435"/>
      <c r="F4" s="59"/>
      <c r="G4" s="1558"/>
      <c r="H4" s="1499"/>
      <c r="I4" s="1435"/>
      <c r="K4" s="1577"/>
      <c r="L4" s="1499"/>
      <c r="M4" s="1435"/>
      <c r="N4" s="59"/>
      <c r="O4" s="1577"/>
      <c r="P4" s="1499"/>
      <c r="Q4" s="1435"/>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D89</f>
        <v>0</v>
      </c>
      <c r="I7" s="1315"/>
      <c r="J7" s="60"/>
      <c r="L7" s="2">
        <f>H89</f>
        <v>0</v>
      </c>
      <c r="M7" s="1315"/>
      <c r="P7" s="2">
        <f>L89</f>
        <v>0</v>
      </c>
      <c r="Q7" s="1315"/>
      <c r="T7" s="2">
        <f>P89</f>
        <v>0</v>
      </c>
      <c r="U7" s="105"/>
      <c r="X7" s="2">
        <f>T89</f>
        <v>-165169</v>
      </c>
      <c r="Y7" s="105"/>
      <c r="AB7" s="2">
        <f>X89</f>
        <v>-334514</v>
      </c>
      <c r="AC7" s="105"/>
    </row>
    <row r="8" spans="1:29" x14ac:dyDescent="0.25">
      <c r="E8" s="1315"/>
      <c r="H8" s="2"/>
      <c r="I8" s="1315"/>
      <c r="L8" s="2"/>
      <c r="M8" s="1315"/>
      <c r="Q8" s="1315"/>
      <c r="U8" s="105"/>
      <c r="Y8" s="105"/>
      <c r="AC8" s="105"/>
    </row>
    <row r="9" spans="1:29" x14ac:dyDescent="0.25">
      <c r="B9" s="1317" t="s">
        <v>52</v>
      </c>
      <c r="C9" s="1243" t="s">
        <v>53</v>
      </c>
      <c r="D9" s="2">
        <v>179888</v>
      </c>
      <c r="E9" s="1315"/>
      <c r="G9" s="1527">
        <f>IF(D9=0,"0.00%",(H9-D9)/D9)</f>
        <v>-0.10632727030152095</v>
      </c>
      <c r="H9" s="3">
        <v>160761</v>
      </c>
      <c r="I9" s="1315" t="s">
        <v>174</v>
      </c>
      <c r="J9" s="61"/>
      <c r="K9" s="1527">
        <f>IF(H9=0,"0.00%",(L9-H9)/H9)</f>
        <v>0</v>
      </c>
      <c r="L9" s="3">
        <f>+H9</f>
        <v>160761</v>
      </c>
      <c r="M9" s="1315" t="s">
        <v>174</v>
      </c>
      <c r="O9" s="1527">
        <f>IF(L9=0,"0.00%",(P9-L9)/L9)</f>
        <v>0</v>
      </c>
      <c r="P9" s="3">
        <f>+L9</f>
        <v>160761</v>
      </c>
      <c r="Q9" s="1315" t="s">
        <v>174</v>
      </c>
      <c r="S9" s="83">
        <f>IF(P9=0,"0.00%",(T9-P9)/P9)</f>
        <v>-1</v>
      </c>
      <c r="T9" s="3">
        <f>T3</f>
        <v>0</v>
      </c>
      <c r="U9" s="105"/>
      <c r="W9" s="83" t="str">
        <f>IF(T9=0,"0.00%",(X9-T9)/T9)</f>
        <v>0.00%</v>
      </c>
      <c r="X9" s="3">
        <f>X3</f>
        <v>0</v>
      </c>
      <c r="Y9" s="105"/>
      <c r="AA9" s="83" t="str">
        <f>IF(X9=0,"0.00%",(AB9-X9)/X9)</f>
        <v>0.00%</v>
      </c>
      <c r="AB9" s="3">
        <f>AB3</f>
        <v>0</v>
      </c>
      <c r="AC9" s="105"/>
    </row>
    <row r="10" spans="1:29" x14ac:dyDescent="0.25">
      <c r="C10" s="1243" t="s">
        <v>51</v>
      </c>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179888</v>
      </c>
      <c r="E11" s="1315"/>
      <c r="G11" s="1527">
        <f t="shared" si="0"/>
        <v>-0.10632727030152095</v>
      </c>
      <c r="H11" s="8">
        <f>SUM(H9:H10)</f>
        <v>160761</v>
      </c>
      <c r="I11" s="1882">
        <f>+H11-D11</f>
        <v>-19127</v>
      </c>
      <c r="J11" s="62"/>
      <c r="K11" s="1527">
        <f>IF(H11=0,"0.00%",(L11-H11)/H11)</f>
        <v>0</v>
      </c>
      <c r="L11" s="8">
        <f>SUM(L9:L10)</f>
        <v>160761</v>
      </c>
      <c r="M11" s="1882">
        <f>+L11-H11</f>
        <v>0</v>
      </c>
      <c r="O11" s="1527">
        <f>IF(L11=0,"0.00%",(P11-L11)/L11)</f>
        <v>0</v>
      </c>
      <c r="P11" s="8">
        <f>SUM(P9:P10)</f>
        <v>160761</v>
      </c>
      <c r="Q11" s="1882">
        <f>+P11-L11</f>
        <v>0</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ROUND(D11-(D11/(1+B13)),0)</f>
        <v>0</v>
      </c>
      <c r="E13" s="1315"/>
      <c r="G13" s="1527" t="str">
        <f t="shared" si="0"/>
        <v>0.00%</v>
      </c>
      <c r="H13" s="9">
        <f>ROUND(H11-(H11/(1+B13)),0)</f>
        <v>0</v>
      </c>
      <c r="I13" s="1315"/>
      <c r="J13" s="64"/>
      <c r="K13" s="1527" t="str">
        <f>IF(H13=0,"0.00%",(L13-H13)/H13)</f>
        <v>0.00%</v>
      </c>
      <c r="L13" s="9">
        <f>ROUND(L11-(L11/(1+B13)),0)</f>
        <v>0</v>
      </c>
      <c r="M13" s="1315"/>
      <c r="O13" s="1527" t="str">
        <f>IF(L13=0,"0.00%",(P13-L13)/L13)</f>
        <v>0.00%</v>
      </c>
      <c r="P13" s="9">
        <f>ROUND(P11-(P11/(1+B13)),0)</f>
        <v>0</v>
      </c>
      <c r="Q13" s="131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179888</v>
      </c>
      <c r="E15" s="1315"/>
      <c r="G15" s="1527">
        <f t="shared" si="0"/>
        <v>-0.10632727030152095</v>
      </c>
      <c r="H15" s="9">
        <f>H11-H13</f>
        <v>160761</v>
      </c>
      <c r="I15" s="1882">
        <f>+H15-D15</f>
        <v>-19127</v>
      </c>
      <c r="J15" s="62"/>
      <c r="K15" s="1527">
        <f>IF(H15=0,"0.00%",(L15-H15)/H15)</f>
        <v>0</v>
      </c>
      <c r="L15" s="9">
        <f>L11-L13</f>
        <v>160761</v>
      </c>
      <c r="M15" s="1882">
        <f>+L15-H15</f>
        <v>0</v>
      </c>
      <c r="O15" s="1527">
        <f>IF(L15=0,"0.00%",(P15-L15)/L15)</f>
        <v>0</v>
      </c>
      <c r="P15" s="9">
        <f>P11-P13</f>
        <v>160761</v>
      </c>
      <c r="Q15" s="1882">
        <f>+P15-L15</f>
        <v>0</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397">
        <v>0.02</v>
      </c>
      <c r="P19" s="14" t="s">
        <v>48</v>
      </c>
      <c r="Q19" s="1397">
        <v>0.02</v>
      </c>
      <c r="T19" s="14" t="s">
        <v>48</v>
      </c>
      <c r="U19" s="104">
        <v>0.02</v>
      </c>
      <c r="X19" s="14" t="s">
        <v>48</v>
      </c>
      <c r="Y19" s="104">
        <v>0.02</v>
      </c>
      <c r="AB19" s="14" t="s">
        <v>48</v>
      </c>
      <c r="AC19" s="104">
        <v>0.02</v>
      </c>
    </row>
    <row r="20" spans="1:29" s="13" customFormat="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x14ac:dyDescent="0.25">
      <c r="A21" s="152"/>
      <c r="B21" s="1326">
        <v>1206</v>
      </c>
      <c r="C21" s="1243" t="s">
        <v>230</v>
      </c>
      <c r="D21" s="2">
        <v>29189</v>
      </c>
      <c r="E21" s="1249"/>
      <c r="F21" s="2"/>
      <c r="G21" s="1527">
        <f t="shared" ref="G21:G30" si="1">IF(D21=0,"0.00%",(H21-D21)/D21)</f>
        <v>1.1202850388845113E-2</v>
      </c>
      <c r="H21" s="2">
        <v>29516</v>
      </c>
      <c r="I21" s="1240"/>
      <c r="J21" s="66"/>
      <c r="K21" s="1527">
        <f t="shared" ref="K21:K27" si="2">IF(H21=0,"0.00%",(L21-H21)/H21)</f>
        <v>1.9989158422550481E-2</v>
      </c>
      <c r="L21" s="2">
        <f>ROUND(H21*(1+M19),0)</f>
        <v>30106</v>
      </c>
      <c r="M21" s="1257" t="str">
        <f>TEXT(M19,"0.0%")&amp;" = Est. S &amp; C"</f>
        <v>2.0% = Est. S &amp; C</v>
      </c>
      <c r="O21" s="1527">
        <f t="shared" ref="O21:O27" si="3">IF(L21=0,"0.00%",(P21-L21)/L21)</f>
        <v>1.9996014083571382E-2</v>
      </c>
      <c r="P21" s="2">
        <f>ROUND(L21*(1+Q19),0)</f>
        <v>30708</v>
      </c>
      <c r="Q21" s="1257" t="str">
        <f>TEXT(Q19,"0.0%")&amp;" = Est. S &amp; C"</f>
        <v>2.0% = Est. S &amp; C</v>
      </c>
      <c r="S21" s="83">
        <f t="shared" ref="S21:S27" si="4">IF(P21=0,"0.00%",(T21-P21)/P21)</f>
        <v>1.999478963136642E-2</v>
      </c>
      <c r="T21" s="2">
        <f>ROUND(P21*(1+U19),0)</f>
        <v>31322</v>
      </c>
      <c r="U21" s="36" t="str">
        <f>TEXT(U19,"0.0%")&amp;" = Est. S &amp; C"</f>
        <v>2.0% = Est. S &amp; C</v>
      </c>
      <c r="W21" s="83">
        <f t="shared" ref="W21:W27" si="5">IF(T21=0,"0.00%",(X21-T21)/T21)</f>
        <v>1.9985952365749314E-2</v>
      </c>
      <c r="X21" s="2">
        <f>ROUND(T21*(1+Y19),0)</f>
        <v>31948</v>
      </c>
      <c r="Y21" s="36" t="str">
        <f>TEXT(Y19,"0.0%")&amp;" = Est. S &amp; C"</f>
        <v>2.0% = Est. S &amp; C</v>
      </c>
      <c r="AA21" s="83">
        <f t="shared" ref="AA21:AA27" si="6">IF(X21=0,"0.00%",(AB21-X21)/X21)</f>
        <v>2.0001252034556154E-2</v>
      </c>
      <c r="AB21" s="2">
        <f>ROUND(X21*(1+AC19),0)</f>
        <v>32587</v>
      </c>
      <c r="AC21" s="36" t="str">
        <f>TEXT(AC19,"0.0%")&amp;" = Est. S &amp; C"</f>
        <v>2.0% = Est. S &amp; C</v>
      </c>
    </row>
    <row r="22" spans="1:29" x14ac:dyDescent="0.25">
      <c r="A22" s="153"/>
      <c r="B22" s="1326">
        <v>1281</v>
      </c>
      <c r="C22" s="1243" t="s">
        <v>231</v>
      </c>
      <c r="D22" s="2">
        <v>3745</v>
      </c>
      <c r="E22" s="1249"/>
      <c r="F22" s="2"/>
      <c r="G22" s="1527">
        <f t="shared" si="1"/>
        <v>1.4686248331108143E-2</v>
      </c>
      <c r="H22" s="2">
        <v>3800</v>
      </c>
      <c r="I22" s="1257"/>
      <c r="J22" s="66"/>
      <c r="K22" s="1527">
        <f t="shared" si="2"/>
        <v>0</v>
      </c>
      <c r="L22" s="2">
        <f>+H22</f>
        <v>3800</v>
      </c>
      <c r="M22" s="1257"/>
      <c r="O22" s="1527">
        <f t="shared" si="3"/>
        <v>0</v>
      </c>
      <c r="P22" s="2">
        <f>+L22</f>
        <v>3800</v>
      </c>
      <c r="Q22" s="1257">
        <f>+M22</f>
        <v>0</v>
      </c>
      <c r="S22" s="83">
        <f t="shared" si="4"/>
        <v>0.02</v>
      </c>
      <c r="T22" s="2">
        <f>ROUND(P22*(1+U19),0)</f>
        <v>3876</v>
      </c>
      <c r="U22" s="36" t="str">
        <f>TEXT(U19,"0.0%")&amp;" = Est. S &amp; C"</f>
        <v>2.0% = Est. S &amp; C</v>
      </c>
      <c r="W22" s="83">
        <f t="shared" si="5"/>
        <v>2.0123839009287926E-2</v>
      </c>
      <c r="X22" s="2">
        <f>ROUND(T22*(1+Y19),0)</f>
        <v>3954</v>
      </c>
      <c r="Y22" s="36" t="str">
        <f>TEXT(Y19,"0.0%")&amp;" = Est. S &amp; C"</f>
        <v>2.0% = Est. S &amp; C</v>
      </c>
      <c r="AA22" s="83">
        <f t="shared" si="6"/>
        <v>1.9979767324228629E-2</v>
      </c>
      <c r="AB22" s="2">
        <f>ROUND(X22*(1+AC19),0)</f>
        <v>4033</v>
      </c>
      <c r="AC22" s="36" t="str">
        <f>TEXT(AC19,"0.0%")&amp;" = Est. S &amp; C"</f>
        <v>2.0% = Est. S &amp; C</v>
      </c>
    </row>
    <row r="23" spans="1:29" hidden="1" x14ac:dyDescent="0.25">
      <c r="A23" s="153"/>
      <c r="B23" s="1326"/>
      <c r="D23" s="2">
        <v>0</v>
      </c>
      <c r="E23" s="1249"/>
      <c r="F23" s="2"/>
      <c r="G23" s="1527" t="str">
        <f t="shared" si="1"/>
        <v>0.00%</v>
      </c>
      <c r="H23" s="2">
        <f t="shared" ref="H23:H27" si="7">ROUND(D23*(1+$I$19),0)</f>
        <v>0</v>
      </c>
      <c r="I23" s="1257" t="str">
        <f t="shared" ref="I23:I28" si="8">TEXT($I$19,"0.0%")&amp;" = Est. S &amp; C"</f>
        <v>0.0% = Est. S &amp; C</v>
      </c>
      <c r="J23" s="66"/>
      <c r="K23" s="1527" t="str">
        <f t="shared" si="2"/>
        <v>0.00%</v>
      </c>
      <c r="L23" s="2">
        <f>ROUND(H23*(1+M19),0)</f>
        <v>0</v>
      </c>
      <c r="M23" s="1257" t="str">
        <f>TEXT(M19,"0.0%")&amp;" = Est. S &amp; C"</f>
        <v>2.0% = Est. S &amp; C</v>
      </c>
      <c r="O23" s="1527" t="str">
        <f t="shared" si="3"/>
        <v>0.00%</v>
      </c>
      <c r="P23" s="2">
        <f>ROUND(L23*(1+Q19),0)</f>
        <v>0</v>
      </c>
      <c r="Q23" s="1257"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7"/>
        <v>0</v>
      </c>
      <c r="I24" s="1257" t="str">
        <f t="shared" si="8"/>
        <v>0.0% = Est. S &amp; C</v>
      </c>
      <c r="J24" s="66"/>
      <c r="K24" s="1527" t="str">
        <f t="shared" si="2"/>
        <v>0.00%</v>
      </c>
      <c r="L24" s="2">
        <f>ROUND(H24*(1+M19),0)</f>
        <v>0</v>
      </c>
      <c r="M24" s="1257" t="str">
        <f>TEXT(M19,"0.0%")&amp;" = Est. S &amp; C"</f>
        <v>2.0% = Est. S &amp; C</v>
      </c>
      <c r="O24" s="1527" t="str">
        <f t="shared" si="3"/>
        <v>0.00%</v>
      </c>
      <c r="P24" s="2">
        <f>ROUND(L24*(1+Q19),0)</f>
        <v>0</v>
      </c>
      <c r="Q24" s="125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7"/>
        <v>0</v>
      </c>
      <c r="I25" s="1257" t="str">
        <f t="shared" si="8"/>
        <v>0.0% = Est. S &amp; C</v>
      </c>
      <c r="J25" s="66"/>
      <c r="K25" s="1527" t="str">
        <f t="shared" si="2"/>
        <v>0.00%</v>
      </c>
      <c r="L25" s="2">
        <f>ROUND(H25*(1+M19),0)</f>
        <v>0</v>
      </c>
      <c r="M25" s="1257" t="str">
        <f>TEXT(M19,"0.0%")&amp;" = Est. S &amp; C"</f>
        <v>2.0% = Est. S &amp; C</v>
      </c>
      <c r="O25" s="1527" t="str">
        <f t="shared" si="3"/>
        <v>0.00%</v>
      </c>
      <c r="P25" s="2">
        <f>ROUND(L25*(1+Q19),0)</f>
        <v>0</v>
      </c>
      <c r="Q25" s="125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7"/>
        <v>0</v>
      </c>
      <c r="I26" s="1257" t="str">
        <f t="shared" si="8"/>
        <v>0.0% = Est. S &amp; C</v>
      </c>
      <c r="J26" s="66"/>
      <c r="K26" s="1527" t="str">
        <f t="shared" si="2"/>
        <v>0.00%</v>
      </c>
      <c r="L26" s="2">
        <f>ROUND(H26*(1+M19),0)</f>
        <v>0</v>
      </c>
      <c r="M26" s="1257" t="str">
        <f>TEXT(M19,"0.0%")&amp;" = Est. S &amp; C"</f>
        <v>2.0% = Est. S &amp; C</v>
      </c>
      <c r="O26" s="1527" t="str">
        <f t="shared" si="3"/>
        <v>0.00%</v>
      </c>
      <c r="P26" s="2">
        <f>ROUND(L26*(1+Q19),0)</f>
        <v>0</v>
      </c>
      <c r="Q26" s="125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7"/>
        <v>0</v>
      </c>
      <c r="I27" s="1257" t="str">
        <f t="shared" si="8"/>
        <v>0.0% = Est. S &amp; C</v>
      </c>
      <c r="J27" s="66"/>
      <c r="K27" s="1527" t="str">
        <f t="shared" si="2"/>
        <v>0.00%</v>
      </c>
      <c r="L27" s="2">
        <f>ROUND(H27*(1+M19),0)</f>
        <v>0</v>
      </c>
      <c r="M27" s="1257" t="str">
        <f>TEXT(M19,"0.0%")&amp;" = Est. S &amp; C"</f>
        <v>2.0% = Est. S &amp; C</v>
      </c>
      <c r="O27" s="1527" t="str">
        <f t="shared" si="3"/>
        <v>0.00%</v>
      </c>
      <c r="P27" s="2">
        <f>ROUND(L27*(1+Q19),0)</f>
        <v>0</v>
      </c>
      <c r="Q27" s="1257"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8"/>
        <v>0.0%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x14ac:dyDescent="0.25">
      <c r="A30" s="154"/>
      <c r="B30" s="1326"/>
      <c r="D30" s="8">
        <f>SUM(D21:D29)</f>
        <v>32934</v>
      </c>
      <c r="E30" s="1249"/>
      <c r="F30" s="2"/>
      <c r="G30" s="1527">
        <f t="shared" si="1"/>
        <v>1.1598955486731038E-2</v>
      </c>
      <c r="H30" s="8">
        <f>SUM(H21:H29)</f>
        <v>33316</v>
      </c>
      <c r="I30" s="1882">
        <f>+H30-D30</f>
        <v>382</v>
      </c>
      <c r="J30" s="29"/>
      <c r="K30" s="1527">
        <f>IF(H30=0,"0.00%",(L30-H30)/H30)</f>
        <v>1.7709208788570057E-2</v>
      </c>
      <c r="L30" s="8">
        <f>SUM(L21:L29)</f>
        <v>33906</v>
      </c>
      <c r="M30" s="1882">
        <f>+L30-H30</f>
        <v>590</v>
      </c>
      <c r="O30" s="1527">
        <f>IF(L30=0,"0.00%",(P30-L30)/L30)</f>
        <v>1.7754969621895829E-2</v>
      </c>
      <c r="P30" s="8">
        <f>SUM(P21:P29)</f>
        <v>34508</v>
      </c>
      <c r="Q30" s="1882">
        <f>+P30-L30</f>
        <v>602</v>
      </c>
      <c r="S30" s="83">
        <f>IF(P30=0,"0.00%",(T30-P30)/P30)</f>
        <v>1.9995363393995595E-2</v>
      </c>
      <c r="T30" s="8">
        <f>SUM(T21:T29)</f>
        <v>35198</v>
      </c>
      <c r="U30" s="73"/>
      <c r="W30" s="83">
        <f>IF(T30=0,"0.00%",(X30-T30)/T30)</f>
        <v>2.0001136428206147E-2</v>
      </c>
      <c r="X30" s="8">
        <f>SUM(X21:X29)</f>
        <v>35902</v>
      </c>
      <c r="Y30" s="73"/>
      <c r="AA30" s="83">
        <f>IF(X30=0,"0.00%",(AB30-X30)/X30)</f>
        <v>1.9998885855941173E-2</v>
      </c>
      <c r="AB30" s="8">
        <f>SUM(AB21:AB29)</f>
        <v>36620</v>
      </c>
      <c r="AC30" s="73"/>
    </row>
    <row r="31" spans="1:29" x14ac:dyDescent="0.25">
      <c r="A31" s="153"/>
      <c r="E31" s="1249"/>
      <c r="F31" s="2"/>
      <c r="H31" s="2"/>
      <c r="I31" s="1240"/>
      <c r="J31" s="66"/>
      <c r="L31" s="2"/>
      <c r="M31" s="1336"/>
      <c r="Q31" s="1336"/>
      <c r="T31" s="2"/>
      <c r="U31" s="73"/>
      <c r="X31" s="2"/>
      <c r="Y31" s="73"/>
      <c r="AB31" s="2"/>
      <c r="AC31" s="73"/>
    </row>
    <row r="32" spans="1:29" s="4" customFormat="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t="s">
        <v>69</v>
      </c>
      <c r="C33" s="1243" t="s">
        <v>70</v>
      </c>
      <c r="D33" s="2">
        <v>0</v>
      </c>
      <c r="E33" s="1249"/>
      <c r="F33" s="2"/>
      <c r="G33" s="1527" t="str">
        <f t="shared" ref="G33:G39" si="9">IF(D33=0,"0.00%",(H33-D33)/D33)</f>
        <v>0.00%</v>
      </c>
      <c r="H33" s="2">
        <f t="shared" ref="H33:H39" si="10">ROUND(D33*(1+$I$19),0)</f>
        <v>0</v>
      </c>
      <c r="I33" s="1257" t="str">
        <f t="shared" ref="I33:I39" si="11">TEXT($I$19,"0.0%")&amp;" = Est. S &amp; C"</f>
        <v>0.0% = Est. S &amp; C</v>
      </c>
      <c r="J33" s="66"/>
      <c r="K33" s="1527" t="str">
        <f t="shared" ref="K33:K39" si="12">IF(H33=0,"0.00%",(L33-H33)/H33)</f>
        <v>0.00%</v>
      </c>
      <c r="L33" s="2">
        <f>ROUND(H33*(1+M19),0)</f>
        <v>0</v>
      </c>
      <c r="M33" s="1257"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t="s">
        <v>34</v>
      </c>
      <c r="C34" s="1243" t="s">
        <v>33</v>
      </c>
      <c r="D34" s="2">
        <v>0</v>
      </c>
      <c r="E34" s="1249"/>
      <c r="F34" s="2"/>
      <c r="G34" s="1527" t="str">
        <f t="shared" si="9"/>
        <v>0.00%</v>
      </c>
      <c r="H34" s="2">
        <f t="shared" si="10"/>
        <v>0</v>
      </c>
      <c r="I34" s="1257" t="str">
        <f t="shared" si="11"/>
        <v>0.0% = Est. S &amp; C</v>
      </c>
      <c r="J34" s="66"/>
      <c r="K34" s="1527" t="str">
        <f t="shared" si="12"/>
        <v>0.00%</v>
      </c>
      <c r="L34" s="2">
        <f>ROUND(H34*(1+M19),0)</f>
        <v>0</v>
      </c>
      <c r="M34" s="1257" t="str">
        <f>TEXT(M19,"0.0%")&amp;" = Est. S &amp; C"</f>
        <v>2.0% = Est. S &amp; C</v>
      </c>
      <c r="O34" s="1527" t="str">
        <f t="shared" si="13"/>
        <v>0.00%</v>
      </c>
      <c r="P34" s="2">
        <f>ROUND(L34*(1+Q19),0)</f>
        <v>0</v>
      </c>
      <c r="Q34" s="125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t="s">
        <v>32</v>
      </c>
      <c r="C35" s="1243" t="s">
        <v>31</v>
      </c>
      <c r="D35" s="2">
        <v>0</v>
      </c>
      <c r="E35" s="1249"/>
      <c r="F35" s="2"/>
      <c r="G35" s="1527" t="str">
        <f t="shared" si="9"/>
        <v>0.00%</v>
      </c>
      <c r="H35" s="2">
        <f t="shared" si="10"/>
        <v>0</v>
      </c>
      <c r="I35" s="1257" t="str">
        <f t="shared" si="11"/>
        <v>0.0% = Est. S &amp; C</v>
      </c>
      <c r="J35" s="66"/>
      <c r="K35" s="1527" t="str">
        <f t="shared" si="12"/>
        <v>0.00%</v>
      </c>
      <c r="L35" s="2">
        <f>ROUND(H35*(1+M19),0)</f>
        <v>0</v>
      </c>
      <c r="M35" s="1257" t="str">
        <f>TEXT(M19,"0.0%")&amp;" = Est. S &amp; C"</f>
        <v>2.0% = Est. S &amp; C</v>
      </c>
      <c r="O35" s="1527" t="str">
        <f t="shared" si="13"/>
        <v>0.00%</v>
      </c>
      <c r="P35" s="2">
        <f>ROUND(L35*(1+Q19),0)</f>
        <v>0</v>
      </c>
      <c r="Q35" s="125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t="s">
        <v>30</v>
      </c>
      <c r="C36" s="1243" t="s">
        <v>29</v>
      </c>
      <c r="D36" s="2">
        <v>0</v>
      </c>
      <c r="E36" s="1249"/>
      <c r="F36" s="2"/>
      <c r="G36" s="1527" t="str">
        <f t="shared" si="9"/>
        <v>0.00%</v>
      </c>
      <c r="H36" s="2">
        <f t="shared" si="10"/>
        <v>0</v>
      </c>
      <c r="I36" s="1257" t="str">
        <f t="shared" si="11"/>
        <v>0.0% = Est. S &amp; C</v>
      </c>
      <c r="J36" s="66"/>
      <c r="K36" s="1527" t="str">
        <f t="shared" si="12"/>
        <v>0.00%</v>
      </c>
      <c r="L36" s="2">
        <f>ROUND(H36*(1+M19),0)</f>
        <v>0</v>
      </c>
      <c r="M36" s="1257" t="str">
        <f>TEXT(M19,"0.0%")&amp;" = Est. S &amp; C"</f>
        <v>2.0% = Est. S &amp; C</v>
      </c>
      <c r="O36" s="1527" t="str">
        <f t="shared" si="13"/>
        <v>0.00%</v>
      </c>
      <c r="P36" s="2">
        <f>ROUND(L36*(1+Q19),0)</f>
        <v>0</v>
      </c>
      <c r="Q36" s="125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t="s">
        <v>72</v>
      </c>
      <c r="C37" s="1243" t="s">
        <v>71</v>
      </c>
      <c r="D37" s="2">
        <v>0</v>
      </c>
      <c r="E37" s="1249"/>
      <c r="F37" s="2"/>
      <c r="G37" s="1527" t="str">
        <f t="shared" si="9"/>
        <v>0.00%</v>
      </c>
      <c r="H37" s="2">
        <f t="shared" si="10"/>
        <v>0</v>
      </c>
      <c r="I37" s="1257" t="str">
        <f t="shared" si="11"/>
        <v>0.0% = Est. S &amp; C</v>
      </c>
      <c r="J37" s="66"/>
      <c r="K37" s="1527" t="str">
        <f t="shared" si="12"/>
        <v>0.00%</v>
      </c>
      <c r="L37" s="2">
        <f>ROUND(H37*(1+M19),0)</f>
        <v>0</v>
      </c>
      <c r="M37" s="1257" t="str">
        <f>TEXT(M19,"0.0%")&amp;" = Est. S &amp; C"</f>
        <v>2.0% = Est. S &amp; C</v>
      </c>
      <c r="O37" s="1527" t="str">
        <f t="shared" si="13"/>
        <v>0.00%</v>
      </c>
      <c r="P37" s="2">
        <f>ROUND(L37*(1+Q19),0)</f>
        <v>0</v>
      </c>
      <c r="Q37" s="125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t="s">
        <v>114</v>
      </c>
      <c r="C38" s="1243" t="s">
        <v>117</v>
      </c>
      <c r="D38" s="2">
        <v>0</v>
      </c>
      <c r="E38" s="1249"/>
      <c r="F38" s="2"/>
      <c r="G38" s="1527" t="str">
        <f t="shared" si="9"/>
        <v>0.00%</v>
      </c>
      <c r="H38" s="2">
        <f t="shared" si="10"/>
        <v>0</v>
      </c>
      <c r="I38" s="1257" t="str">
        <f t="shared" si="11"/>
        <v>0.0% = Est. S &amp; C</v>
      </c>
      <c r="J38" s="66"/>
      <c r="K38" s="1527" t="str">
        <f t="shared" si="12"/>
        <v>0.00%</v>
      </c>
      <c r="L38" s="2">
        <f>ROUND(H38*(1+M19),0)</f>
        <v>0</v>
      </c>
      <c r="M38" s="1257" t="str">
        <f>TEXT(M19,"0.0%")&amp;" = Est. S &amp; C"</f>
        <v>2.0% = Est. S &amp; C</v>
      </c>
      <c r="O38" s="1527" t="str">
        <f t="shared" si="13"/>
        <v>0.00%</v>
      </c>
      <c r="P38" s="2">
        <f>ROUND(L38*(1+Q19),0)</f>
        <v>0</v>
      </c>
      <c r="Q38" s="125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t="s">
        <v>73</v>
      </c>
      <c r="C39" s="1243" t="s">
        <v>74</v>
      </c>
      <c r="D39" s="2">
        <v>0</v>
      </c>
      <c r="E39" s="1249"/>
      <c r="F39" s="2"/>
      <c r="G39" s="1527" t="str">
        <f t="shared" si="9"/>
        <v>0.00%</v>
      </c>
      <c r="H39" s="2">
        <f t="shared" si="10"/>
        <v>0</v>
      </c>
      <c r="I39" s="1257" t="str">
        <f t="shared" si="11"/>
        <v>0.0% = Est. S &amp; C</v>
      </c>
      <c r="J39" s="66"/>
      <c r="K39" s="1527" t="str">
        <f t="shared" si="12"/>
        <v>0.00%</v>
      </c>
      <c r="L39" s="2">
        <f>ROUND(H39*(1+M19),0)</f>
        <v>0</v>
      </c>
      <c r="M39" s="1257" t="str">
        <f>TEXT(M19,"0.0%")&amp;" = Est. S &amp; C"</f>
        <v>2.0% = Est. S &amp; C</v>
      </c>
      <c r="O39" s="1527" t="str">
        <f t="shared" si="13"/>
        <v>0.00%</v>
      </c>
      <c r="P39" s="2">
        <f>ROUND(L39*(1+Q19),0)</f>
        <v>0</v>
      </c>
      <c r="Q39" s="125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3"/>
      <c r="B42" s="1317" t="s">
        <v>28</v>
      </c>
      <c r="E42" s="1249"/>
      <c r="F42" s="2"/>
      <c r="H42" s="2"/>
      <c r="I42" s="1257"/>
      <c r="J42" s="66"/>
      <c r="L42" s="2"/>
      <c r="M42" s="1335"/>
      <c r="Q42" s="1335"/>
      <c r="T42" s="2"/>
      <c r="U42" s="73"/>
      <c r="X42" s="2"/>
      <c r="Y42" s="73"/>
      <c r="AB42" s="2"/>
      <c r="AC42" s="73"/>
    </row>
    <row r="43" spans="1:29" x14ac:dyDescent="0.25">
      <c r="A43" s="155"/>
      <c r="B43" s="1323" t="s">
        <v>27</v>
      </c>
      <c r="E43" s="1249"/>
      <c r="F43" s="2"/>
      <c r="H43" s="2"/>
      <c r="I43" s="1257"/>
      <c r="J43" s="66"/>
      <c r="L43" s="2"/>
      <c r="M43" s="1335"/>
      <c r="Q43" s="1335"/>
      <c r="T43" s="2"/>
      <c r="U43" s="73"/>
      <c r="X43" s="2"/>
      <c r="Y43" s="73"/>
      <c r="AB43" s="2"/>
      <c r="AC43" s="73"/>
    </row>
    <row r="44" spans="1:29" x14ac:dyDescent="0.25">
      <c r="A44" s="153"/>
      <c r="B44" s="1326" t="s">
        <v>83</v>
      </c>
      <c r="C44" s="1243" t="s">
        <v>76</v>
      </c>
      <c r="D44" s="2">
        <v>4272</v>
      </c>
      <c r="E44" s="1240" t="str">
        <f>TEXT('MYP Assumptions'!$D$52,"0.00%")&amp;", STRS rate"</f>
        <v>12.58%, STRS rate</v>
      </c>
      <c r="F44" s="2"/>
      <c r="G44" s="1527">
        <f t="shared" ref="G44:G53" si="17">IF(D44=0,"0.00%",(H44-D44)/D44)</f>
        <v>0.12523408239700373</v>
      </c>
      <c r="H44" s="2">
        <v>4807</v>
      </c>
      <c r="I44" s="1240" t="str">
        <f>TEXT('MYP Assumptions'!E52,"0.00%")&amp;", projected STRS rate"</f>
        <v>14.43%, projected STRS rate</v>
      </c>
      <c r="J44" s="66"/>
      <c r="K44" s="1527">
        <f t="shared" ref="K44:K53" si="18">IF(H44=0,"0.00%",(L44-H44)/H44)</f>
        <v>0.14832535885167464</v>
      </c>
      <c r="L44" s="2">
        <f>ROUND(L30*LEFT(M44,6),0)</f>
        <v>5520</v>
      </c>
      <c r="M44" s="1240" t="str">
        <f>TEXT('MYP Assumptions'!F52,"0.00%")&amp;", projected STRS rate"</f>
        <v>16.28%, projected STRS rate</v>
      </c>
      <c r="O44" s="1527">
        <f t="shared" ref="O44:O53" si="19">IF(L44=0,"0.00%",(P44-L44)/L44)</f>
        <v>0.13333333333333333</v>
      </c>
      <c r="P44" s="2">
        <f>ROUND(P30*LEFT(Q44,6),0)</f>
        <v>6256</v>
      </c>
      <c r="Q44" s="1240" t="str">
        <f>TEXT('MYP Assumptions'!G52,"0.00%")&amp;", projected STRS rate"</f>
        <v>18.13%, projected STRS rate</v>
      </c>
      <c r="S44" s="83">
        <f t="shared" ref="S44:S53" si="20">IF(P44=0,"0.00%",(T44-P44)/P44)</f>
        <v>7.4648337595907929E-2</v>
      </c>
      <c r="T44" s="2">
        <f>ROUND(T30*LEFT(U44,6),0)</f>
        <v>6723</v>
      </c>
      <c r="U44" s="81" t="str">
        <f>TEXT('MYP Assumptions'!H52,"0.00%")&amp;", projected STRS rate"</f>
        <v>19.10%, projected STRS rate</v>
      </c>
      <c r="W44" s="83">
        <f t="shared" ref="W44:W53" si="21">IF(T44=0,"0.00%",(X44-T44)/T44)</f>
        <v>1.993157816450989E-2</v>
      </c>
      <c r="X44" s="2">
        <f>ROUND(X30*LEFT(Y44,6),0)</f>
        <v>6857</v>
      </c>
      <c r="Y44" s="81" t="str">
        <f>TEXT('MYP Assumptions'!I52,"0.00%")&amp;", projected STRS rate"</f>
        <v>19.10%, projected STRS rate</v>
      </c>
      <c r="AA44" s="83">
        <f t="shared" ref="AA44:AA53" si="22">IF(X44=0,"0.00%",(AB44-X44)/X44)</f>
        <v>1.9979582907977248E-2</v>
      </c>
      <c r="AB44" s="2">
        <f>ROUND(AB30*LEFT(AC44,6),0)</f>
        <v>6994</v>
      </c>
      <c r="AC44" s="81" t="str">
        <f>TEXT('MYP Assumptions'!J52,"0.00%")&amp;", projected STRS rate"</f>
        <v>19.10%, projected STRS rate</v>
      </c>
    </row>
    <row r="45" spans="1:29" x14ac:dyDescent="0.25">
      <c r="A45" s="153"/>
      <c r="B45" s="1326" t="s">
        <v>84</v>
      </c>
      <c r="C45" s="1243" t="s">
        <v>77</v>
      </c>
      <c r="D45" s="2">
        <v>0</v>
      </c>
      <c r="E45" s="1240" t="str">
        <f>TEXT('MYP Assumptions'!$D$53,"0.00%")&amp;", PERS rate"</f>
        <v>13.89%, PERS rate</v>
      </c>
      <c r="F45" s="2"/>
      <c r="G45" s="1527" t="str">
        <f t="shared" si="17"/>
        <v>0.00%</v>
      </c>
      <c r="H45" s="2">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x14ac:dyDescent="0.25">
      <c r="A46" s="153"/>
      <c r="B46" s="1326" t="s">
        <v>85</v>
      </c>
      <c r="C46" s="1243" t="s">
        <v>78</v>
      </c>
      <c r="D46" s="2">
        <v>0</v>
      </c>
      <c r="E46" s="1240" t="str">
        <f>TEXT('MYP Assumptions'!$D$54,"0.00%")&amp;", SS rate"</f>
        <v>6.20%, SS rate</v>
      </c>
      <c r="F46" s="2"/>
      <c r="G46" s="1527" t="str">
        <f t="shared" si="17"/>
        <v>0.00%</v>
      </c>
      <c r="H46" s="2">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x14ac:dyDescent="0.25">
      <c r="A47" s="153"/>
      <c r="B47" s="1326" t="s">
        <v>86</v>
      </c>
      <c r="C47" s="1243" t="s">
        <v>79</v>
      </c>
      <c r="D47" s="2">
        <v>504</v>
      </c>
      <c r="E47" s="1240" t="str">
        <f>TEXT('MYP Assumptions'!$D$55,"0.00%")&amp;", Medicare rate"</f>
        <v>1.45%, Medicare rate</v>
      </c>
      <c r="F47" s="2"/>
      <c r="G47" s="1527">
        <f t="shared" si="17"/>
        <v>-1.984126984126984E-2</v>
      </c>
      <c r="H47" s="2">
        <v>494</v>
      </c>
      <c r="I47" s="1240" t="str">
        <f>TEXT('MYP Assumptions'!E55,"0.00%")&amp;", no rate change"</f>
        <v>1.45%, no rate change</v>
      </c>
      <c r="J47" s="66"/>
      <c r="K47" s="1527">
        <f t="shared" si="18"/>
        <v>-4.048582995951417E-3</v>
      </c>
      <c r="L47" s="2">
        <f>ROUND((L41+L30)*LEFT(M47,5),0)</f>
        <v>492</v>
      </c>
      <c r="M47" s="1240" t="str">
        <f>TEXT('MYP Assumptions'!F55,"0.00%")&amp;", no rate change"</f>
        <v>1.45%, no rate change</v>
      </c>
      <c r="O47" s="1527">
        <f t="shared" si="19"/>
        <v>1.6260162601626018E-2</v>
      </c>
      <c r="P47" s="2">
        <f>ROUND((P41+P30)*LEFT(Q47,5),0)</f>
        <v>500</v>
      </c>
      <c r="Q47" s="1240" t="str">
        <f>TEXT('MYP Assumptions'!G55,"0.00%")&amp;", no rate change"</f>
        <v>1.45%, no rate change</v>
      </c>
      <c r="S47" s="83">
        <f t="shared" si="20"/>
        <v>0.02</v>
      </c>
      <c r="T47" s="2">
        <f>ROUND((T41+T30)*LEFT(U47,5),0)</f>
        <v>510</v>
      </c>
      <c r="U47" s="81" t="str">
        <f>TEXT('MYP Assumptions'!H55,"0.00%")&amp;", no rate change"</f>
        <v>1.45%, no rate change</v>
      </c>
      <c r="W47" s="83">
        <f t="shared" si="21"/>
        <v>2.1568627450980392E-2</v>
      </c>
      <c r="X47" s="2">
        <f>ROUND((X41+X30)*LEFT(Y47,5),0)</f>
        <v>521</v>
      </c>
      <c r="Y47" s="81" t="str">
        <f>TEXT('MYP Assumptions'!I55,"0.00%")&amp;", no rate change"</f>
        <v>1.45%, no rate change</v>
      </c>
      <c r="AA47" s="83">
        <f t="shared" si="22"/>
        <v>1.9193857965451054E-2</v>
      </c>
      <c r="AB47" s="2">
        <f>ROUND((AB41+AB30)*LEFT(AC47,5),0)</f>
        <v>531</v>
      </c>
      <c r="AC47" s="81" t="str">
        <f>TEXT('MYP Assumptions'!J55,"0.00%")&amp;", no rate change"</f>
        <v>1.45%, no rate change</v>
      </c>
    </row>
    <row r="48" spans="1:29" x14ac:dyDescent="0.25">
      <c r="A48" s="153"/>
      <c r="B48" s="1326" t="s">
        <v>87</v>
      </c>
      <c r="C48" s="1243" t="s">
        <v>80</v>
      </c>
      <c r="D48" s="2">
        <v>0</v>
      </c>
      <c r="E48" s="1240"/>
      <c r="F48" s="2"/>
      <c r="G48" s="1527" t="str">
        <f t="shared" si="17"/>
        <v>0.00%</v>
      </c>
      <c r="H48" s="2">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x14ac:dyDescent="0.25">
      <c r="A49" s="153"/>
      <c r="B49" s="1326" t="s">
        <v>88</v>
      </c>
      <c r="C49" s="1243" t="s">
        <v>81</v>
      </c>
      <c r="D49" s="2">
        <v>17</v>
      </c>
      <c r="E49" s="1240" t="str">
        <f>TEXT('MYP Assumptions'!$D$56,"0.00%")&amp;", SUI rate"</f>
        <v>0.05%, SUI rate</v>
      </c>
      <c r="F49" s="2"/>
      <c r="G49" s="1527">
        <f t="shared" si="17"/>
        <v>5.8823529411764705E-2</v>
      </c>
      <c r="H49" s="2">
        <v>18</v>
      </c>
      <c r="I49" s="1240" t="str">
        <f>TEXT('MYP Assumptions'!E56,"0.00%")&amp;", no rate change"</f>
        <v>0.05%, no rate change</v>
      </c>
      <c r="J49" s="66"/>
      <c r="K49" s="1527">
        <f t="shared" si="18"/>
        <v>-5.5555555555555552E-2</v>
      </c>
      <c r="L49" s="2">
        <f>ROUND((L41+L30)*LEFT(M49,5),0)</f>
        <v>17</v>
      </c>
      <c r="M49" s="1240" t="str">
        <f>TEXT('MYP Assumptions'!F56,"0.00%")&amp;", no rate change"</f>
        <v>0.05%, no rate change</v>
      </c>
      <c r="O49" s="1527">
        <f t="shared" si="19"/>
        <v>0</v>
      </c>
      <c r="P49" s="2">
        <f>ROUND((P41+P30)*LEFT(Q49,5),0)</f>
        <v>17</v>
      </c>
      <c r="Q49" s="1240" t="str">
        <f>TEXT('MYP Assumptions'!G56,"0.00%")&amp;", no rate change"</f>
        <v>0.05%, no rate change</v>
      </c>
      <c r="S49" s="83">
        <f t="shared" si="20"/>
        <v>5.8823529411764705E-2</v>
      </c>
      <c r="T49" s="2">
        <f>ROUND((T41+T30)*LEFT(U49,5),0)</f>
        <v>18</v>
      </c>
      <c r="U49" s="81" t="str">
        <f>TEXT('MYP Assumptions'!H56,"0.00%")&amp;", no rate change"</f>
        <v>0.05%, no rate change</v>
      </c>
      <c r="W49" s="83">
        <f t="shared" si="21"/>
        <v>0</v>
      </c>
      <c r="X49" s="2">
        <f>ROUND((X41+X30)*LEFT(Y49,5),0)</f>
        <v>18</v>
      </c>
      <c r="Y49" s="81" t="str">
        <f>TEXT('MYP Assumptions'!I56,"0.00%")&amp;", no rate change"</f>
        <v>0.05%, no rate change</v>
      </c>
      <c r="AA49" s="83">
        <f t="shared" si="22"/>
        <v>0</v>
      </c>
      <c r="AB49" s="2">
        <f>ROUND((AB41+AB30)*LEFT(AC49,5),0)</f>
        <v>18</v>
      </c>
      <c r="AC49" s="81" t="str">
        <f>TEXT('MYP Assumptions'!J56,"0.00%")&amp;", no rate change"</f>
        <v>0.05%, no rate change</v>
      </c>
    </row>
    <row r="50" spans="1:29" x14ac:dyDescent="0.25">
      <c r="A50" s="153"/>
      <c r="B50" s="1326" t="s">
        <v>89</v>
      </c>
      <c r="C50" s="1243" t="s">
        <v>82</v>
      </c>
      <c r="D50" s="2">
        <v>382</v>
      </c>
      <c r="E50" s="1240" t="str">
        <f>TEXT('MYP Assumptions'!$D$57,"0.00%")&amp;", W/C rate"</f>
        <v>1.10%, W/C rate</v>
      </c>
      <c r="F50" s="2"/>
      <c r="G50" s="1527">
        <f t="shared" si="17"/>
        <v>-1.5706806282722512E-2</v>
      </c>
      <c r="H50" s="2">
        <v>376</v>
      </c>
      <c r="I50" s="1240" t="str">
        <f>TEXT('MYP Assumptions'!E57,"0.00%")&amp;", no rate change"</f>
        <v>1.10%, no rate change</v>
      </c>
      <c r="J50" s="66"/>
      <c r="K50" s="1527">
        <f t="shared" si="18"/>
        <v>-7.9787234042553185E-3</v>
      </c>
      <c r="L50" s="2">
        <f>ROUND((L41+L30)*LEFT(M50,5),0)</f>
        <v>373</v>
      </c>
      <c r="M50" s="1240" t="str">
        <f>TEXT('MYP Assumptions'!F57,"0.00%")&amp;", no rate change"</f>
        <v>1.10%, no rate change</v>
      </c>
      <c r="O50" s="1527">
        <f t="shared" si="19"/>
        <v>1.876675603217158E-2</v>
      </c>
      <c r="P50" s="2">
        <f>ROUND((P41+P30)*LEFT(Q50,5),0)</f>
        <v>380</v>
      </c>
      <c r="Q50" s="1240" t="str">
        <f>TEXT('MYP Assumptions'!G57,"0.00%")&amp;", no rate change"</f>
        <v>1.10%, no rate change</v>
      </c>
      <c r="S50" s="83">
        <f t="shared" si="20"/>
        <v>1.8421052631578946E-2</v>
      </c>
      <c r="T50" s="2">
        <f>ROUND((T41+T30)*LEFT(U50,5),0)</f>
        <v>387</v>
      </c>
      <c r="U50" s="81" t="str">
        <f>TEXT('MYP Assumptions'!H57,"0.00%")&amp;", no rate change"</f>
        <v>1.10%, no rate change</v>
      </c>
      <c r="W50" s="83">
        <f t="shared" si="21"/>
        <v>2.0671834625322998E-2</v>
      </c>
      <c r="X50" s="2">
        <f>ROUND((X41+X30)*LEFT(Y50,5),0)</f>
        <v>395</v>
      </c>
      <c r="Y50" s="81" t="str">
        <f>TEXT('MYP Assumptions'!I57,"0.00%")&amp;", no rate change"</f>
        <v>1.10%, no rate change</v>
      </c>
      <c r="AA50" s="83">
        <f t="shared" si="22"/>
        <v>2.0253164556962026E-2</v>
      </c>
      <c r="AB50" s="2">
        <f>ROUND((AB41+AB30)*LEFT(AC50,5),0)</f>
        <v>403</v>
      </c>
      <c r="AC50" s="81" t="str">
        <f>TEXT('MYP Assumptions'!J57,"0.00%")&amp;", no rate change"</f>
        <v>1.10%, no rate change</v>
      </c>
    </row>
    <row r="51" spans="1:29" x14ac:dyDescent="0.25">
      <c r="A51" s="153"/>
      <c r="B51" s="1326" t="s">
        <v>91</v>
      </c>
      <c r="C51" s="1243" t="s">
        <v>93</v>
      </c>
      <c r="D51" s="2">
        <v>644</v>
      </c>
      <c r="E51" s="1249"/>
      <c r="F51" s="2"/>
      <c r="G51" s="1527">
        <f t="shared" ref="G51" si="23">IF(D51=0,"0.00%",(H51-D51)/D51)</f>
        <v>0.16459627329192547</v>
      </c>
      <c r="H51" s="2">
        <v>750</v>
      </c>
      <c r="I51" s="1240"/>
      <c r="J51" s="66"/>
      <c r="K51" s="1527">
        <f t="shared" ref="K51" si="24">IF(H51=0,"0.00%",(L51-H51)/H51)</f>
        <v>0</v>
      </c>
      <c r="L51" s="2">
        <f>H51</f>
        <v>750</v>
      </c>
      <c r="M51" s="1240" t="s">
        <v>166</v>
      </c>
      <c r="O51" s="1527">
        <f t="shared" ref="O51" si="25">IF(L51=0,"0.00%",(P51-L51)/L51)</f>
        <v>0</v>
      </c>
      <c r="P51" s="2">
        <f>L51</f>
        <v>750</v>
      </c>
      <c r="Q51" s="1240" t="s">
        <v>166</v>
      </c>
      <c r="S51" s="83">
        <f t="shared" ref="S51" si="26">IF(P51=0,"0.00%",(T51-P51)/P51)</f>
        <v>0</v>
      </c>
      <c r="T51" s="2">
        <f>P51</f>
        <v>750</v>
      </c>
      <c r="U51" s="81" t="s">
        <v>166</v>
      </c>
      <c r="W51" s="83">
        <f t="shared" ref="W51" si="27">IF(T51=0,"0.00%",(X51-T51)/T51)</f>
        <v>0</v>
      </c>
      <c r="X51" s="2">
        <f>T51</f>
        <v>750</v>
      </c>
      <c r="Y51" s="81" t="s">
        <v>166</v>
      </c>
      <c r="AA51" s="83">
        <f t="shared" ref="AA51" si="28">IF(X51=0,"0.00%",(AB51-X51)/X51)</f>
        <v>0</v>
      </c>
      <c r="AB51" s="2">
        <f>X51</f>
        <v>750</v>
      </c>
      <c r="AC51" s="81" t="s">
        <v>166</v>
      </c>
    </row>
    <row r="52" spans="1:29" x14ac:dyDescent="0.25">
      <c r="A52" s="153"/>
      <c r="B52" s="1326"/>
      <c r="E52" s="1249"/>
      <c r="F52" s="2"/>
      <c r="G52" s="1527"/>
      <c r="H52" s="2"/>
      <c r="I52" s="1240"/>
      <c r="J52" s="66"/>
      <c r="K52" s="1527"/>
      <c r="L52" s="2"/>
      <c r="M52" s="1240"/>
      <c r="O52" s="1527"/>
      <c r="Q52" s="1240"/>
      <c r="S52" s="83"/>
      <c r="T52" s="2"/>
      <c r="U52" s="81"/>
      <c r="W52" s="83"/>
      <c r="X52" s="2"/>
      <c r="Y52" s="81"/>
      <c r="AA52" s="83"/>
      <c r="AB52" s="2"/>
      <c r="AC52" s="81"/>
    </row>
    <row r="53" spans="1:29" x14ac:dyDescent="0.25">
      <c r="A53" s="154"/>
      <c r="B53" s="1326"/>
      <c r="D53" s="8">
        <f>SUM(D44:D52)</f>
        <v>5819</v>
      </c>
      <c r="E53" s="1249"/>
      <c r="F53" s="2"/>
      <c r="G53" s="1527">
        <f t="shared" si="17"/>
        <v>0.10757862175631552</v>
      </c>
      <c r="H53" s="8">
        <f>SUM(H44:H52)</f>
        <v>6445</v>
      </c>
      <c r="I53" s="1882">
        <f>+H53-D53</f>
        <v>626</v>
      </c>
      <c r="J53" s="29"/>
      <c r="K53" s="1527">
        <f t="shared" si="18"/>
        <v>0.10969743987587277</v>
      </c>
      <c r="L53" s="8">
        <f>SUM(L44:L52)</f>
        <v>7152</v>
      </c>
      <c r="M53" s="1882">
        <f>+L53-H53</f>
        <v>707</v>
      </c>
      <c r="O53" s="1527">
        <f t="shared" si="19"/>
        <v>0.10500559284116331</v>
      </c>
      <c r="P53" s="8">
        <f>SUM(P44:P52)</f>
        <v>7903</v>
      </c>
      <c r="Q53" s="1882">
        <f>+P53-L53</f>
        <v>751</v>
      </c>
      <c r="S53" s="83">
        <f t="shared" si="20"/>
        <v>6.1369100341642412E-2</v>
      </c>
      <c r="T53" s="8">
        <f>SUM(T44:T52)</f>
        <v>8388</v>
      </c>
      <c r="U53" s="73"/>
      <c r="W53" s="83">
        <f t="shared" si="21"/>
        <v>1.8240343347639486E-2</v>
      </c>
      <c r="X53" s="8">
        <f>SUM(X44:X52)</f>
        <v>8541</v>
      </c>
      <c r="Y53" s="73"/>
      <c r="AA53" s="83">
        <f t="shared" si="22"/>
        <v>1.814775787378527E-2</v>
      </c>
      <c r="AB53" s="8">
        <f>SUM(AB44:AB52)</f>
        <v>8696</v>
      </c>
      <c r="AC53" s="73"/>
    </row>
    <row r="54" spans="1:29" x14ac:dyDescent="0.25">
      <c r="A54" s="155"/>
      <c r="B54" s="1326"/>
      <c r="E54" s="1249"/>
      <c r="F54" s="2"/>
      <c r="H54" s="2"/>
      <c r="I54" s="1257"/>
      <c r="J54" s="66"/>
      <c r="L54" s="2"/>
      <c r="M54" s="1335"/>
      <c r="Q54" s="1335"/>
      <c r="T54" s="2"/>
      <c r="U54" s="73"/>
      <c r="X54" s="2"/>
      <c r="Y54" s="73"/>
      <c r="AB54" s="2"/>
      <c r="AC54" s="73"/>
    </row>
    <row r="55" spans="1:29" x14ac:dyDescent="0.25">
      <c r="A55" s="154"/>
      <c r="B55" s="1323" t="s">
        <v>26</v>
      </c>
      <c r="D55" s="8">
        <f>SUM(D53,D41,D30)</f>
        <v>38753</v>
      </c>
      <c r="E55" s="1249"/>
      <c r="F55" s="2"/>
      <c r="G55" s="1527">
        <f>IF(D55=0,"0.00%",(H55-D55)/D55)</f>
        <v>2.6010889479524166E-2</v>
      </c>
      <c r="H55" s="8">
        <f>SUM(H53,H41,H30)</f>
        <v>39761</v>
      </c>
      <c r="I55" s="1882">
        <f>+H55-D55</f>
        <v>1008</v>
      </c>
      <c r="J55" s="29"/>
      <c r="K55" s="1527">
        <f>IF(H55=0,"0.00%",(L55-H55)/H55)</f>
        <v>3.2619903925957594E-2</v>
      </c>
      <c r="L55" s="8">
        <f>SUM(L53,L41,L30)</f>
        <v>41058</v>
      </c>
      <c r="M55" s="1882">
        <f>+L55-H55</f>
        <v>1297</v>
      </c>
      <c r="O55" s="1527">
        <f>IF(L55=0,"0.00%",(P55-L55)/L55)</f>
        <v>3.2953383019143648E-2</v>
      </c>
      <c r="P55" s="8">
        <f>SUM(P53,P41,P30)</f>
        <v>42411</v>
      </c>
      <c r="Q55" s="1882">
        <f>+P55-L55</f>
        <v>1353</v>
      </c>
      <c r="S55" s="83">
        <f>IF(P55=0,"0.00%",(T55-P55)/P55)</f>
        <v>2.7705076513168753E-2</v>
      </c>
      <c r="T55" s="8">
        <f>SUM(T53,T41,T30)</f>
        <v>43586</v>
      </c>
      <c r="U55" s="73"/>
      <c r="W55" s="83">
        <f>IF(T55=0,"0.00%",(X55-T55)/T55)</f>
        <v>1.9662276877896571E-2</v>
      </c>
      <c r="X55" s="8">
        <f>SUM(X53,X41,X30)</f>
        <v>44443</v>
      </c>
      <c r="Y55" s="73"/>
      <c r="AA55" s="83">
        <f>IF(X55=0,"0.00%",(AB55-X55)/X55)</f>
        <v>1.9643138401998064E-2</v>
      </c>
      <c r="AB55" s="8">
        <f>SUM(AB53,AB41,AB30)</f>
        <v>45316</v>
      </c>
      <c r="AC55" s="73"/>
    </row>
    <row r="56" spans="1:29" x14ac:dyDescent="0.25">
      <c r="A56" s="156"/>
      <c r="E56" s="1249"/>
      <c r="F56" s="2"/>
      <c r="H56" s="2"/>
      <c r="I56" s="1257"/>
      <c r="J56" s="66"/>
      <c r="L56" s="2"/>
      <c r="M56" s="1335"/>
      <c r="Q56" s="1335"/>
      <c r="T56" s="2"/>
      <c r="U56" s="73"/>
      <c r="X56" s="2"/>
      <c r="Y56" s="73"/>
      <c r="AB56" s="2"/>
      <c r="AC56" s="73"/>
    </row>
    <row r="57" spans="1:29" x14ac:dyDescent="0.25">
      <c r="A57" s="153"/>
      <c r="E57" s="1249"/>
      <c r="F57" s="2"/>
      <c r="H57" s="2"/>
      <c r="I57" s="1257"/>
      <c r="J57" s="66"/>
      <c r="L57" s="2"/>
      <c r="M57" s="1335"/>
      <c r="Q57" s="1335"/>
      <c r="T57" s="2"/>
      <c r="U57" s="73"/>
      <c r="X57" s="2"/>
      <c r="Y57" s="73"/>
      <c r="AB57" s="2"/>
      <c r="AC57" s="73"/>
    </row>
    <row r="58" spans="1:29" x14ac:dyDescent="0.25">
      <c r="A58" s="156"/>
      <c r="B58" s="1327" t="s">
        <v>25</v>
      </c>
      <c r="C58" s="1259"/>
      <c r="E58" s="1249"/>
      <c r="F58" s="2"/>
      <c r="H58" s="2"/>
      <c r="I58" s="1257"/>
      <c r="J58" s="66"/>
      <c r="L58" s="2"/>
      <c r="M58" s="1335"/>
      <c r="Q58" s="1335"/>
      <c r="T58" s="2"/>
      <c r="U58" s="73"/>
      <c r="X58" s="2"/>
      <c r="Y58" s="73"/>
      <c r="AB58" s="2"/>
      <c r="AC58" s="73"/>
    </row>
    <row r="59" spans="1:29" x14ac:dyDescent="0.25">
      <c r="A59" s="153"/>
      <c r="B59" s="1326">
        <v>4310</v>
      </c>
      <c r="C59" s="1243" t="s">
        <v>21</v>
      </c>
      <c r="D59" s="2">
        <v>34572</v>
      </c>
      <c r="E59" s="1249"/>
      <c r="F59" s="2"/>
      <c r="G59" s="1527">
        <f t="shared" ref="G59:G66" si="29">IF(D59=0,"0.00%",(H59-D59)/D59)</f>
        <v>-0.13224574800416522</v>
      </c>
      <c r="H59" s="2">
        <v>30000</v>
      </c>
      <c r="I59" s="1240"/>
      <c r="J59" s="66"/>
      <c r="K59" s="1527">
        <f t="shared" ref="K59:K66" si="30">IF(H59=0,"0.00%",(L59-H59)/H59)</f>
        <v>-4.3233333333333332E-2</v>
      </c>
      <c r="L59" s="2">
        <v>28703</v>
      </c>
      <c r="M59" s="1240"/>
      <c r="O59" s="1527">
        <f t="shared" ref="O59:O66" si="31">IF(L59=0,"0.00%",(P59-L59)/L59)</f>
        <v>-4.7137929833118486E-2</v>
      </c>
      <c r="P59" s="2">
        <v>27350</v>
      </c>
      <c r="Q59" s="1240"/>
      <c r="S59" s="83">
        <f t="shared" ref="S59:S66" si="32">IF(P59=0,"0.00%",(T59-P59)/P59)</f>
        <v>2.7312614259597807E-2</v>
      </c>
      <c r="T59" s="2">
        <f>ROUND(P59*(LEFT(U59,5)+1),0)</f>
        <v>28097</v>
      </c>
      <c r="U59" s="81" t="str">
        <f>TEXT('MYP Assumptions'!H72,"0.00%")&amp;", CPI"</f>
        <v>2.73%, CPI</v>
      </c>
      <c r="W59" s="83">
        <f t="shared" ref="W59:W66" si="33">IF(T59=0,"0.00%",(X59-T59)/T59)</f>
        <v>2.7298288073459801E-2</v>
      </c>
      <c r="X59" s="2">
        <f>ROUND(T59*(LEFT(Y59,5)+1),0)</f>
        <v>28864</v>
      </c>
      <c r="Y59" s="81" t="str">
        <f>TEXT('MYP Assumptions'!I72,"0.00%")&amp;", CPI"</f>
        <v>2.73%, CPI</v>
      </c>
      <c r="AA59" s="83">
        <f t="shared" ref="AA59:AA66" si="34">IF(X59=0,"0.00%",(AB59-X59)/X59)</f>
        <v>2.7300443458980046E-2</v>
      </c>
      <c r="AB59" s="2">
        <f>ROUND(X59*(LEFT(AC59,5)+1),0)</f>
        <v>29652</v>
      </c>
      <c r="AC59" s="81" t="str">
        <f>TEXT('MYP Assumptions'!J72,"0.00%")&amp;", CPI"</f>
        <v>2.73%, CPI</v>
      </c>
    </row>
    <row r="60" spans="1:29" x14ac:dyDescent="0.25">
      <c r="A60" s="153"/>
      <c r="B60" s="1326">
        <v>4311</v>
      </c>
      <c r="C60" s="1243" t="s">
        <v>884</v>
      </c>
      <c r="D60" s="2">
        <v>43611</v>
      </c>
      <c r="E60" s="1249"/>
      <c r="F60" s="2"/>
      <c r="G60" s="1527">
        <f t="shared" si="29"/>
        <v>3.1849762674554583E-2</v>
      </c>
      <c r="H60" s="2">
        <v>45000</v>
      </c>
      <c r="I60" s="1240"/>
      <c r="J60" s="66"/>
      <c r="K60" s="1527">
        <f t="shared" si="30"/>
        <v>0</v>
      </c>
      <c r="L60" s="2">
        <f t="shared" ref="L60:L63" si="35">+H60</f>
        <v>45000</v>
      </c>
      <c r="M60" s="1240"/>
      <c r="O60" s="1527">
        <f t="shared" ref="O60:O63" si="36">IF(L60=0,"0.00%",(P60-L60)/L60)</f>
        <v>0</v>
      </c>
      <c r="P60" s="2">
        <f t="shared" ref="P60:P63" si="37">+L60</f>
        <v>45000</v>
      </c>
      <c r="Q60" s="1240"/>
      <c r="S60" s="83">
        <f t="shared" si="32"/>
        <v>2.7311111111111112E-2</v>
      </c>
      <c r="T60" s="2">
        <f t="shared" ref="T60:T65" si="38">ROUND(P60*(LEFT(U60,5)+1),0)</f>
        <v>46229</v>
      </c>
      <c r="U60" s="81" t="str">
        <f>TEXT('MYP Assumptions'!H72,"0.00%")&amp;", CPI"</f>
        <v>2.73%, CPI</v>
      </c>
      <c r="W60" s="83">
        <f t="shared" si="33"/>
        <v>2.7298881654372796E-2</v>
      </c>
      <c r="X60" s="2">
        <f t="shared" ref="X60:X65" si="39">ROUND(T60*(LEFT(Y60,5)+1),0)</f>
        <v>47491</v>
      </c>
      <c r="Y60" s="81" t="str">
        <f>TEXT('MYP Assumptions'!I72,"0.00%")&amp;", CPI"</f>
        <v>2.73%, CPI</v>
      </c>
      <c r="AA60" s="83">
        <f t="shared" si="34"/>
        <v>2.7310437767155884E-2</v>
      </c>
      <c r="AB60" s="2">
        <f t="shared" ref="AB60:AB65" si="40">ROUND(X60*(LEFT(AC60,5)+1),0)</f>
        <v>48788</v>
      </c>
      <c r="AC60" s="81" t="str">
        <f>TEXT('MYP Assumptions'!J72,"0.00%")&amp;", CPI"</f>
        <v>2.73%, CPI</v>
      </c>
    </row>
    <row r="61" spans="1:29" x14ac:dyDescent="0.25">
      <c r="A61" s="153"/>
      <c r="B61" s="1326">
        <v>4344</v>
      </c>
      <c r="C61" s="1243" t="s">
        <v>885</v>
      </c>
      <c r="D61" s="2">
        <v>10821</v>
      </c>
      <c r="E61" s="1249"/>
      <c r="F61" s="2"/>
      <c r="G61" s="1527">
        <f t="shared" si="29"/>
        <v>0.7558451159781906</v>
      </c>
      <c r="H61" s="2">
        <v>19000</v>
      </c>
      <c r="I61" s="1240"/>
      <c r="J61" s="66"/>
      <c r="K61" s="1527">
        <f t="shared" si="30"/>
        <v>0</v>
      </c>
      <c r="L61" s="2">
        <f t="shared" si="35"/>
        <v>19000</v>
      </c>
      <c r="M61" s="1240"/>
      <c r="O61" s="1527">
        <f t="shared" si="36"/>
        <v>0</v>
      </c>
      <c r="P61" s="2">
        <f t="shared" si="37"/>
        <v>19000</v>
      </c>
      <c r="Q61" s="1240"/>
      <c r="S61" s="83">
        <f t="shared" si="32"/>
        <v>2.731578947368421E-2</v>
      </c>
      <c r="T61" s="2">
        <f t="shared" si="38"/>
        <v>19519</v>
      </c>
      <c r="U61" s="81" t="str">
        <f>TEXT('MYP Assumptions'!H72,"0.00%")&amp;", CPI"</f>
        <v>2.73%, CPI</v>
      </c>
      <c r="W61" s="83">
        <f t="shared" si="33"/>
        <v>2.7306726779035811E-2</v>
      </c>
      <c r="X61" s="2">
        <f t="shared" si="39"/>
        <v>20052</v>
      </c>
      <c r="Y61" s="81" t="str">
        <f>TEXT('MYP Assumptions'!I72,"0.00%")&amp;", CPI"</f>
        <v>2.73%, CPI</v>
      </c>
      <c r="AA61" s="83">
        <f t="shared" si="34"/>
        <v>2.7279074406542987E-2</v>
      </c>
      <c r="AB61" s="2">
        <f t="shared" si="40"/>
        <v>20599</v>
      </c>
      <c r="AC61" s="81" t="str">
        <f>TEXT('MYP Assumptions'!J72,"0.00%")&amp;", CPI"</f>
        <v>2.73%, CPI</v>
      </c>
    </row>
    <row r="62" spans="1:29" x14ac:dyDescent="0.25">
      <c r="A62" s="153"/>
      <c r="B62" s="1326">
        <v>4353</v>
      </c>
      <c r="C62" s="1243" t="s">
        <v>19</v>
      </c>
      <c r="D62" s="2">
        <v>7656</v>
      </c>
      <c r="E62" s="1249"/>
      <c r="F62" s="2"/>
      <c r="G62" s="1527">
        <f t="shared" si="29"/>
        <v>-0.34691745036572624</v>
      </c>
      <c r="H62" s="2">
        <v>5000</v>
      </c>
      <c r="I62" s="1240"/>
      <c r="J62" s="66"/>
      <c r="K62" s="1527">
        <f t="shared" si="30"/>
        <v>0</v>
      </c>
      <c r="L62" s="2">
        <f t="shared" si="35"/>
        <v>5000</v>
      </c>
      <c r="M62" s="1240"/>
      <c r="O62" s="1527">
        <f t="shared" si="36"/>
        <v>0</v>
      </c>
      <c r="P62" s="2">
        <f t="shared" si="37"/>
        <v>5000</v>
      </c>
      <c r="Q62" s="1240"/>
      <c r="S62" s="83">
        <f t="shared" si="32"/>
        <v>2.7400000000000001E-2</v>
      </c>
      <c r="T62" s="2">
        <f t="shared" si="38"/>
        <v>5137</v>
      </c>
      <c r="U62" s="81" t="str">
        <f>TEXT('MYP Assumptions'!H72,"0.00%")&amp;", CPI"</f>
        <v>2.73%, CPI</v>
      </c>
      <c r="W62" s="83">
        <f t="shared" si="33"/>
        <v>2.7253260657971578E-2</v>
      </c>
      <c r="X62" s="2">
        <f t="shared" si="39"/>
        <v>5277</v>
      </c>
      <c r="Y62" s="81" t="str">
        <f>TEXT('MYP Assumptions'!I72,"0.00%")&amp;", CPI"</f>
        <v>2.73%, CPI</v>
      </c>
      <c r="AA62" s="83">
        <f t="shared" si="34"/>
        <v>2.7288231949971573E-2</v>
      </c>
      <c r="AB62" s="2">
        <f t="shared" si="40"/>
        <v>5421</v>
      </c>
      <c r="AC62" s="81" t="str">
        <f>TEXT('MYP Assumptions'!J72,"0.00%")&amp;", CPI"</f>
        <v>2.73%, CPI</v>
      </c>
    </row>
    <row r="63" spans="1:29" x14ac:dyDescent="0.25">
      <c r="A63" s="153"/>
      <c r="B63" s="1326">
        <v>4400</v>
      </c>
      <c r="C63" s="1243" t="s">
        <v>886</v>
      </c>
      <c r="D63" s="2">
        <v>23077</v>
      </c>
      <c r="E63" s="1249"/>
      <c r="F63" s="2"/>
      <c r="G63" s="1527">
        <f t="shared" si="29"/>
        <v>-0.78333405555314817</v>
      </c>
      <c r="H63" s="2">
        <v>5000</v>
      </c>
      <c r="I63" s="1240"/>
      <c r="J63" s="66"/>
      <c r="K63" s="1527">
        <f t="shared" si="30"/>
        <v>0</v>
      </c>
      <c r="L63" s="2">
        <f t="shared" si="35"/>
        <v>5000</v>
      </c>
      <c r="M63" s="1240"/>
      <c r="O63" s="1527">
        <f t="shared" si="36"/>
        <v>0</v>
      </c>
      <c r="P63" s="2">
        <f t="shared" si="37"/>
        <v>5000</v>
      </c>
      <c r="Q63" s="1240"/>
      <c r="S63" s="83">
        <f t="shared" si="32"/>
        <v>2.7400000000000001E-2</v>
      </c>
      <c r="T63" s="2">
        <f t="shared" si="38"/>
        <v>5137</v>
      </c>
      <c r="U63" s="81" t="str">
        <f>TEXT('MYP Assumptions'!H72,"0.00%")&amp;", CPI"</f>
        <v>2.73%, CPI</v>
      </c>
      <c r="W63" s="83">
        <f t="shared" si="33"/>
        <v>2.7253260657971578E-2</v>
      </c>
      <c r="X63" s="2">
        <f t="shared" si="39"/>
        <v>5277</v>
      </c>
      <c r="Y63" s="81" t="str">
        <f>TEXT('MYP Assumptions'!I72,"0.00%")&amp;", CPI"</f>
        <v>2.73%, CPI</v>
      </c>
      <c r="AA63" s="83">
        <f t="shared" si="34"/>
        <v>2.7288231949971573E-2</v>
      </c>
      <c r="AB63" s="2">
        <f t="shared" si="40"/>
        <v>5421</v>
      </c>
      <c r="AC63" s="81" t="str">
        <f>TEXT('MYP Assumptions'!J72,"0.00%")&amp;", CPI"</f>
        <v>2.73%, CPI</v>
      </c>
    </row>
    <row r="64" spans="1:29" hidden="1" x14ac:dyDescent="0.25">
      <c r="A64" s="153"/>
      <c r="B64" s="1326">
        <v>4000</v>
      </c>
      <c r="D64" s="2">
        <v>0</v>
      </c>
      <c r="E64" s="1249"/>
      <c r="F64" s="2"/>
      <c r="G64" s="1527" t="str">
        <f t="shared" si="29"/>
        <v>0.00%</v>
      </c>
      <c r="H64" s="2">
        <f t="shared" ref="H64:H65" si="41">ROUND(D64*(LEFT(I64,5)+1),0)</f>
        <v>0</v>
      </c>
      <c r="I64" s="1240" t="str">
        <f>TEXT('MYP Assumptions'!E72,"0.00%")&amp;", CPI"</f>
        <v>3.11%, CPI</v>
      </c>
      <c r="J64" s="66"/>
      <c r="K64" s="1527" t="str">
        <f t="shared" si="30"/>
        <v>0.00%</v>
      </c>
      <c r="L64" s="2">
        <f t="shared" ref="L64:L65" si="42">ROUND(H64*(LEFT(M64,5)+1),0)</f>
        <v>0</v>
      </c>
      <c r="M64" s="1240" t="str">
        <f>TEXT('MYP Assumptions'!F72,"0.00%")&amp;", CPI"</f>
        <v>3.19%, CPI</v>
      </c>
      <c r="O64" s="1527" t="str">
        <f t="shared" si="31"/>
        <v>0.00%</v>
      </c>
      <c r="P64" s="2">
        <f t="shared" ref="P64:P65" si="43">ROUND(L64*(LEFT(Q64,5)+1),0)</f>
        <v>0</v>
      </c>
      <c r="Q64" s="1240" t="str">
        <f>TEXT('MYP Assumptions'!G72,"0.00%")&amp;", CPI"</f>
        <v>2.86%, CPI</v>
      </c>
      <c r="S64" s="83" t="str">
        <f t="shared" si="32"/>
        <v>0.00%</v>
      </c>
      <c r="T64" s="2">
        <f t="shared" si="38"/>
        <v>0</v>
      </c>
      <c r="U64" s="81" t="str">
        <f>TEXT('MYP Assumptions'!H72,"0.00%")&amp;", CPI"</f>
        <v>2.73%, CPI</v>
      </c>
      <c r="W64" s="83" t="str">
        <f t="shared" si="33"/>
        <v>0.00%</v>
      </c>
      <c r="X64" s="2">
        <f t="shared" si="39"/>
        <v>0</v>
      </c>
      <c r="Y64" s="81" t="str">
        <f>TEXT('MYP Assumptions'!I72,"0.00%")&amp;", CPI"</f>
        <v>2.73%, CPI</v>
      </c>
      <c r="AA64" s="83" t="str">
        <f t="shared" si="34"/>
        <v>0.00%</v>
      </c>
      <c r="AB64" s="2">
        <f t="shared" si="40"/>
        <v>0</v>
      </c>
      <c r="AC64" s="81" t="str">
        <f>TEXT('MYP Assumptions'!J72,"0.00%")&amp;", CPI"</f>
        <v>2.73%, CPI</v>
      </c>
    </row>
    <row r="65" spans="1:29" hidden="1" x14ac:dyDescent="0.25">
      <c r="A65" s="153"/>
      <c r="B65" s="1326">
        <v>4000</v>
      </c>
      <c r="C65" s="1328"/>
      <c r="D65" s="2">
        <v>0</v>
      </c>
      <c r="E65" s="1249"/>
      <c r="F65" s="2"/>
      <c r="G65" s="1527" t="str">
        <f t="shared" si="29"/>
        <v>0.00%</v>
      </c>
      <c r="H65" s="2">
        <f t="shared" si="41"/>
        <v>0</v>
      </c>
      <c r="I65" s="1240" t="str">
        <f>TEXT('MYP Assumptions'!E72,"0.00%")&amp;", CPI"</f>
        <v>3.11%, CPI</v>
      </c>
      <c r="J65" s="66"/>
      <c r="K65" s="1527" t="str">
        <f t="shared" si="30"/>
        <v>0.00%</v>
      </c>
      <c r="L65" s="2">
        <f t="shared" si="42"/>
        <v>0</v>
      </c>
      <c r="M65" s="1240" t="str">
        <f>TEXT('MYP Assumptions'!F72,"0.00%")&amp;", CPI"</f>
        <v>3.19%, CPI</v>
      </c>
      <c r="O65" s="1527" t="str">
        <f t="shared" si="31"/>
        <v>0.00%</v>
      </c>
      <c r="P65" s="2">
        <f t="shared" si="43"/>
        <v>0</v>
      </c>
      <c r="Q65" s="1240" t="str">
        <f>TEXT('MYP Assumptions'!G72,"0.00%")&amp;", CPI"</f>
        <v>2.86%, CPI</v>
      </c>
      <c r="S65" s="83" t="str">
        <f t="shared" si="32"/>
        <v>0.00%</v>
      </c>
      <c r="T65" s="2">
        <f t="shared" si="38"/>
        <v>0</v>
      </c>
      <c r="U65" s="81" t="str">
        <f>TEXT('MYP Assumptions'!H72,"0.00%")&amp;", CPI"</f>
        <v>2.73%, CPI</v>
      </c>
      <c r="W65" s="83" t="str">
        <f t="shared" si="33"/>
        <v>0.00%</v>
      </c>
      <c r="X65" s="2">
        <f t="shared" si="39"/>
        <v>0</v>
      </c>
      <c r="Y65" s="81" t="str">
        <f>TEXT('MYP Assumptions'!I72,"0.00%")&amp;", CPI"</f>
        <v>2.73%, CPI</v>
      </c>
      <c r="AA65" s="83" t="str">
        <f t="shared" si="34"/>
        <v>0.00%</v>
      </c>
      <c r="AB65" s="2">
        <f t="shared" si="40"/>
        <v>0</v>
      </c>
      <c r="AC65" s="81" t="str">
        <f>TEXT('MYP Assumptions'!J72,"0.00%")&amp;", CPI"</f>
        <v>2.73%, CPI</v>
      </c>
    </row>
    <row r="66" spans="1:29" x14ac:dyDescent="0.25">
      <c r="A66" s="154"/>
      <c r="B66" s="1243"/>
      <c r="D66" s="8">
        <f>SUM(D59:D65)</f>
        <v>119737</v>
      </c>
      <c r="E66" s="1249"/>
      <c r="F66" s="2"/>
      <c r="G66" s="1527">
        <f t="shared" si="29"/>
        <v>-0.13142971679597784</v>
      </c>
      <c r="H66" s="8">
        <f>SUM(H59:H65)</f>
        <v>104000</v>
      </c>
      <c r="I66" s="1882">
        <f>+H66-D66</f>
        <v>-15737</v>
      </c>
      <c r="J66" s="29"/>
      <c r="K66" s="1527">
        <f t="shared" si="30"/>
        <v>-1.2471153846153845E-2</v>
      </c>
      <c r="L66" s="8">
        <f>SUM(L59:L65)</f>
        <v>102703</v>
      </c>
      <c r="M66" s="1882">
        <f>+L66-H66</f>
        <v>-1297</v>
      </c>
      <c r="O66" s="1527">
        <f t="shared" si="31"/>
        <v>-1.317390923342064E-2</v>
      </c>
      <c r="P66" s="8">
        <f>SUM(P59:P65)</f>
        <v>101350</v>
      </c>
      <c r="Q66" s="1882">
        <f>+P66-L66</f>
        <v>-1353</v>
      </c>
      <c r="S66" s="83">
        <f t="shared" si="32"/>
        <v>2.7321164282190429E-2</v>
      </c>
      <c r="T66" s="8">
        <f>SUM(T59:T65)</f>
        <v>104119</v>
      </c>
      <c r="U66" s="73"/>
      <c r="W66" s="83">
        <f t="shared" si="33"/>
        <v>2.729569050797645E-2</v>
      </c>
      <c r="X66" s="8">
        <f>SUM(X59:X65)</f>
        <v>106961</v>
      </c>
      <c r="Y66" s="73"/>
      <c r="AA66" s="83">
        <f t="shared" si="34"/>
        <v>2.7299669973167792E-2</v>
      </c>
      <c r="AB66" s="8">
        <f>SUM(AB59:AB65)</f>
        <v>109881</v>
      </c>
      <c r="AC66" s="73"/>
    </row>
    <row r="67" spans="1:29" x14ac:dyDescent="0.25">
      <c r="A67" s="153"/>
      <c r="E67" s="1249"/>
      <c r="F67" s="2"/>
      <c r="H67" s="2"/>
      <c r="I67" s="1257"/>
      <c r="J67" s="66"/>
      <c r="L67" s="2"/>
      <c r="M67" s="1335"/>
      <c r="Q67" s="1335"/>
      <c r="T67" s="2"/>
      <c r="U67" s="73"/>
      <c r="X67" s="2"/>
      <c r="Y67" s="73"/>
      <c r="AB67" s="2"/>
      <c r="AC67" s="73"/>
    </row>
    <row r="68" spans="1:29" s="4" customFormat="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x14ac:dyDescent="0.25">
      <c r="A69" s="153"/>
      <c r="B69" s="1326" t="s">
        <v>15</v>
      </c>
      <c r="C69" s="1243" t="s">
        <v>14</v>
      </c>
      <c r="D69" s="2">
        <v>18315</v>
      </c>
      <c r="E69" s="1249"/>
      <c r="F69" s="2"/>
      <c r="G69" s="1527">
        <f t="shared" ref="G69:G74" si="44">IF(D69=0,"0.00%",(H69-D69)/D69)</f>
        <v>-7.1799071799071801E-2</v>
      </c>
      <c r="H69" s="2">
        <v>17000</v>
      </c>
      <c r="I69" s="1240"/>
      <c r="J69" s="66"/>
      <c r="K69" s="1527">
        <f t="shared" ref="K69:K82" si="45">IF(H69=0,"0.00%",(L69-H69)/H69)</f>
        <v>0</v>
      </c>
      <c r="L69" s="2">
        <f>+H69</f>
        <v>17000</v>
      </c>
      <c r="M69" s="1240"/>
      <c r="O69" s="1527">
        <f t="shared" ref="O69:O82" si="46">IF(L69=0,"0.00%",(P69-L69)/L69)</f>
        <v>0</v>
      </c>
      <c r="P69" s="2">
        <f>+L69</f>
        <v>17000</v>
      </c>
      <c r="Q69" s="1240"/>
      <c r="S69" s="83">
        <f t="shared" ref="S69:S82" si="47">IF(P69=0,"0.00%",(T69-P69)/P69)</f>
        <v>2.7294117647058823E-2</v>
      </c>
      <c r="T69" s="2">
        <f>ROUND(P69*(LEFT(U69,5)+1),0)</f>
        <v>17464</v>
      </c>
      <c r="U69" s="81" t="str">
        <f>TEXT('MYP Assumptions'!H72,"0.00%")&amp;", CPI"</f>
        <v>2.73%, CPI</v>
      </c>
      <c r="W69" s="83">
        <f t="shared" ref="W69:W82" si="48">IF(T69=0,"0.00%",(X69-T69)/T69)</f>
        <v>2.7313330279431974E-2</v>
      </c>
      <c r="X69" s="2">
        <f>ROUND(T69*(LEFT(Y69,5)+1),0)</f>
        <v>17941</v>
      </c>
      <c r="Y69" s="81" t="str">
        <f>TEXT('MYP Assumptions'!I72,"0.00%")&amp;", CPI"</f>
        <v>2.73%, CPI</v>
      </c>
      <c r="AA69" s="83">
        <f t="shared" ref="AA69:AA82" si="49">IF(X69=0,"0.00%",(AB69-X69)/X69)</f>
        <v>2.7311744049941473E-2</v>
      </c>
      <c r="AB69" s="2">
        <f>ROUND(X69*(LEFT(AC69,5)+1),0)</f>
        <v>18431</v>
      </c>
      <c r="AC69" s="81" t="str">
        <f>TEXT('MYP Assumptions'!J72,"0.00%")&amp;", CPI"</f>
        <v>2.73%, CPI</v>
      </c>
    </row>
    <row r="70" spans="1:29" x14ac:dyDescent="0.25">
      <c r="A70" s="153"/>
      <c r="B70" s="1326">
        <v>5604</v>
      </c>
      <c r="C70" s="1243" t="s">
        <v>453</v>
      </c>
      <c r="D70" s="2">
        <v>450</v>
      </c>
      <c r="E70" s="1249"/>
      <c r="F70" s="2"/>
      <c r="G70" s="1527">
        <f t="shared" si="44"/>
        <v>-1</v>
      </c>
      <c r="H70" s="2">
        <v>0</v>
      </c>
      <c r="I70" s="1240"/>
      <c r="J70" s="66"/>
      <c r="K70" s="1527" t="str">
        <f t="shared" si="45"/>
        <v>0.00%</v>
      </c>
      <c r="L70" s="2">
        <f t="shared" ref="L70:L72" si="50">+H70</f>
        <v>0</v>
      </c>
      <c r="M70" s="1240"/>
      <c r="O70" s="1527" t="str">
        <f t="shared" ref="O70:O72" si="51">IF(L70=0,"0.00%",(P70-L70)/L70)</f>
        <v>0.00%</v>
      </c>
      <c r="P70" s="2">
        <f t="shared" ref="P70:P72" si="52">+L70</f>
        <v>0</v>
      </c>
      <c r="Q70" s="1240"/>
      <c r="S70" s="83" t="str">
        <f t="shared" si="47"/>
        <v>0.00%</v>
      </c>
      <c r="T70" s="2">
        <f t="shared" ref="T70:T81" si="53">ROUND(P70*(LEFT(U70,5)+1),0)</f>
        <v>0</v>
      </c>
      <c r="U70" s="81" t="str">
        <f>TEXT('MYP Assumptions'!H72,"0.00%")&amp;", CPI"</f>
        <v>2.73%, CPI</v>
      </c>
      <c r="W70" s="83" t="str">
        <f t="shared" si="48"/>
        <v>0.00%</v>
      </c>
      <c r="X70" s="2">
        <f t="shared" ref="X70:X81" si="54">ROUND(T70*(LEFT(Y70,5)+1),0)</f>
        <v>0</v>
      </c>
      <c r="Y70" s="81" t="str">
        <f>TEXT('MYP Assumptions'!I72,"0.00%")&amp;", CPI"</f>
        <v>2.73%, CPI</v>
      </c>
      <c r="AA70" s="83" t="str">
        <f t="shared" si="49"/>
        <v>0.00%</v>
      </c>
      <c r="AB70" s="2">
        <f t="shared" ref="AB70:AB81" si="55">ROUND(X70*(LEFT(AC70,5)+1),0)</f>
        <v>0</v>
      </c>
      <c r="AC70" s="81" t="str">
        <f>TEXT('MYP Assumptions'!J72,"0.00%")&amp;", CPI"</f>
        <v>2.73%, CPI</v>
      </c>
    </row>
    <row r="71" spans="1:29" x14ac:dyDescent="0.25">
      <c r="A71" s="153"/>
      <c r="B71" s="1326">
        <v>5813</v>
      </c>
      <c r="C71" s="1243" t="s">
        <v>6</v>
      </c>
      <c r="D71" s="2">
        <v>2049</v>
      </c>
      <c r="E71" s="1249"/>
      <c r="F71" s="2"/>
      <c r="G71" s="1527">
        <f t="shared" si="44"/>
        <v>-1</v>
      </c>
      <c r="H71" s="2">
        <v>0</v>
      </c>
      <c r="I71" s="1240"/>
      <c r="J71" s="66"/>
      <c r="K71" s="1527" t="str">
        <f t="shared" si="45"/>
        <v>0.00%</v>
      </c>
      <c r="L71" s="2">
        <f t="shared" si="50"/>
        <v>0</v>
      </c>
      <c r="M71" s="1240"/>
      <c r="O71" s="1527" t="str">
        <f t="shared" si="51"/>
        <v>0.00%</v>
      </c>
      <c r="P71" s="2">
        <f t="shared" si="52"/>
        <v>0</v>
      </c>
      <c r="Q71" s="1240"/>
      <c r="S71" s="83" t="str">
        <f t="shared" si="47"/>
        <v>0.00%</v>
      </c>
      <c r="T71" s="2">
        <f t="shared" si="53"/>
        <v>0</v>
      </c>
      <c r="U71" s="81" t="str">
        <f>TEXT('MYP Assumptions'!H72,"0.00%")&amp;", CPI"</f>
        <v>2.73%, CPI</v>
      </c>
      <c r="W71" s="83" t="str">
        <f t="shared" si="48"/>
        <v>0.00%</v>
      </c>
      <c r="X71" s="2">
        <f t="shared" si="54"/>
        <v>0</v>
      </c>
      <c r="Y71" s="81" t="str">
        <f>TEXT('MYP Assumptions'!I72,"0.00%")&amp;", CPI"</f>
        <v>2.73%, CPI</v>
      </c>
      <c r="AA71" s="83" t="str">
        <f t="shared" si="49"/>
        <v>0.00%</v>
      </c>
      <c r="AB71" s="2">
        <f t="shared" si="55"/>
        <v>0</v>
      </c>
      <c r="AC71" s="81" t="str">
        <f>TEXT('MYP Assumptions'!J72,"0.00%")&amp;", CPI"</f>
        <v>2.73%, CPI</v>
      </c>
    </row>
    <row r="72" spans="1:29" x14ac:dyDescent="0.25">
      <c r="A72" s="153"/>
      <c r="B72" s="1326">
        <v>5814</v>
      </c>
      <c r="C72" s="1243" t="s">
        <v>4</v>
      </c>
      <c r="D72" s="2">
        <v>584</v>
      </c>
      <c r="E72" s="1249"/>
      <c r="F72" s="2"/>
      <c r="G72" s="1527">
        <f t="shared" si="44"/>
        <v>-1</v>
      </c>
      <c r="H72" s="2">
        <v>0</v>
      </c>
      <c r="I72" s="1240"/>
      <c r="J72" s="66"/>
      <c r="K72" s="1527" t="str">
        <f t="shared" si="45"/>
        <v>0.00%</v>
      </c>
      <c r="L72" s="2">
        <f t="shared" si="50"/>
        <v>0</v>
      </c>
      <c r="M72" s="1240"/>
      <c r="O72" s="1527" t="str">
        <f t="shared" si="51"/>
        <v>0.00%</v>
      </c>
      <c r="P72" s="2">
        <f t="shared" si="52"/>
        <v>0</v>
      </c>
      <c r="Q72" s="1240"/>
      <c r="S72" s="83" t="str">
        <f t="shared" si="47"/>
        <v>0.00%</v>
      </c>
      <c r="T72" s="2">
        <f t="shared" si="53"/>
        <v>0</v>
      </c>
      <c r="U72" s="81" t="str">
        <f>TEXT('MYP Assumptions'!H72,"0.00%")&amp;", CPI"</f>
        <v>2.73%, CPI</v>
      </c>
      <c r="W72" s="83" t="str">
        <f t="shared" si="48"/>
        <v>0.00%</v>
      </c>
      <c r="X72" s="2">
        <f t="shared" si="54"/>
        <v>0</v>
      </c>
      <c r="Y72" s="81" t="str">
        <f>TEXT('MYP Assumptions'!I72,"0.00%")&amp;", CPI"</f>
        <v>2.73%, CPI</v>
      </c>
      <c r="AA72" s="83" t="str">
        <f t="shared" si="49"/>
        <v>0.00%</v>
      </c>
      <c r="AB72" s="2">
        <f t="shared" si="55"/>
        <v>0</v>
      </c>
      <c r="AC72" s="81" t="str">
        <f>TEXT('MYP Assumptions'!J72,"0.00%")&amp;", CPI"</f>
        <v>2.73%, CPI</v>
      </c>
    </row>
    <row r="73" spans="1:29" hidden="1" x14ac:dyDescent="0.25">
      <c r="A73" s="153"/>
      <c r="B73" s="1326"/>
      <c r="D73" s="2">
        <v>0</v>
      </c>
      <c r="E73" s="1249"/>
      <c r="F73" s="2"/>
      <c r="G73" s="1527" t="str">
        <f t="shared" si="44"/>
        <v>0.00%</v>
      </c>
      <c r="H73" s="2">
        <f t="shared" ref="H73:H76" si="56">ROUND(D73*(LEFT(I73,5)+1),0)</f>
        <v>0</v>
      </c>
      <c r="I73" s="1240" t="str">
        <f>TEXT('MYP Assumptions'!E72,"0.00%")&amp;", CPI"</f>
        <v>3.11%, CPI</v>
      </c>
      <c r="J73" s="66"/>
      <c r="K73" s="1527" t="str">
        <f t="shared" si="45"/>
        <v>0.00%</v>
      </c>
      <c r="L73" s="2">
        <f t="shared" ref="L73:L81" si="57">ROUND(H73*(LEFT(M73,5)+1),0)</f>
        <v>0</v>
      </c>
      <c r="M73" s="1240" t="str">
        <f>TEXT('MYP Assumptions'!F72,"0.00%")&amp;", CPI"</f>
        <v>3.19%, CPI</v>
      </c>
      <c r="O73" s="1527" t="str">
        <f t="shared" si="46"/>
        <v>0.00%</v>
      </c>
      <c r="P73" s="2">
        <f t="shared" ref="P73:P81" si="58">ROUND(L73*(LEFT(Q73,5)+1),0)</f>
        <v>0</v>
      </c>
      <c r="Q73" s="1240" t="str">
        <f>TEXT('MYP Assumptions'!G72,"0.00%")&amp;", CPI"</f>
        <v>2.86%, CPI</v>
      </c>
      <c r="S73" s="83" t="str">
        <f t="shared" si="47"/>
        <v>0.00%</v>
      </c>
      <c r="T73" s="2">
        <f t="shared" si="53"/>
        <v>0</v>
      </c>
      <c r="U73" s="81" t="str">
        <f>TEXT('MYP Assumptions'!H72,"0.00%")&amp;", CPI"</f>
        <v>2.73%, CPI</v>
      </c>
      <c r="W73" s="83" t="str">
        <f t="shared" si="48"/>
        <v>0.00%</v>
      </c>
      <c r="X73" s="2">
        <f t="shared" si="54"/>
        <v>0</v>
      </c>
      <c r="Y73" s="81" t="str">
        <f>TEXT('MYP Assumptions'!I72,"0.00%")&amp;", CPI"</f>
        <v>2.73%, CPI</v>
      </c>
      <c r="AA73" s="83" t="str">
        <f t="shared" si="49"/>
        <v>0.00%</v>
      </c>
      <c r="AB73" s="2">
        <f t="shared" si="55"/>
        <v>0</v>
      </c>
      <c r="AC73" s="81" t="str">
        <f>TEXT('MYP Assumptions'!J72,"0.00%")&amp;", CPI"</f>
        <v>2.73%, CPI</v>
      </c>
    </row>
    <row r="74" spans="1:29" hidden="1" x14ac:dyDescent="0.25">
      <c r="A74" s="153"/>
      <c r="B74" s="1326"/>
      <c r="D74" s="2">
        <v>0</v>
      </c>
      <c r="E74" s="1249"/>
      <c r="F74" s="2"/>
      <c r="G74" s="1527" t="str">
        <f t="shared" si="44"/>
        <v>0.00%</v>
      </c>
      <c r="H74" s="2">
        <f t="shared" si="56"/>
        <v>0</v>
      </c>
      <c r="I74" s="1240" t="str">
        <f>TEXT('MYP Assumptions'!E72,"0.00%")&amp;", CPI"</f>
        <v>3.11%, CPI</v>
      </c>
      <c r="J74" s="66"/>
      <c r="K74" s="1527" t="str">
        <f t="shared" si="45"/>
        <v>0.00%</v>
      </c>
      <c r="L74" s="2">
        <f t="shared" si="57"/>
        <v>0</v>
      </c>
      <c r="M74" s="1240" t="str">
        <f>TEXT('MYP Assumptions'!F72,"0.00%")&amp;", CPI"</f>
        <v>3.19%, CPI</v>
      </c>
      <c r="O74" s="1527" t="str">
        <f t="shared" si="46"/>
        <v>0.00%</v>
      </c>
      <c r="P74" s="2">
        <f t="shared" si="58"/>
        <v>0</v>
      </c>
      <c r="Q74" s="1240" t="str">
        <f>TEXT('MYP Assumptions'!G72,"0.00%")&amp;", CPI"</f>
        <v>2.86%, CPI</v>
      </c>
      <c r="S74" s="83" t="str">
        <f t="shared" si="47"/>
        <v>0.00%</v>
      </c>
      <c r="T74" s="2">
        <f t="shared" si="53"/>
        <v>0</v>
      </c>
      <c r="U74" s="81" t="str">
        <f>TEXT('MYP Assumptions'!H72,"0.00%")&amp;", CPI"</f>
        <v>2.73%, CPI</v>
      </c>
      <c r="W74" s="83" t="str">
        <f t="shared" si="48"/>
        <v>0.00%</v>
      </c>
      <c r="X74" s="2">
        <f t="shared" si="54"/>
        <v>0</v>
      </c>
      <c r="Y74" s="81" t="str">
        <f>TEXT('MYP Assumptions'!I72,"0.00%")&amp;", CPI"</f>
        <v>2.73%, CPI</v>
      </c>
      <c r="AA74" s="83" t="str">
        <f t="shared" si="49"/>
        <v>0.00%</v>
      </c>
      <c r="AB74" s="2">
        <f t="shared" si="55"/>
        <v>0</v>
      </c>
      <c r="AC74" s="81" t="str">
        <f>TEXT('MYP Assumptions'!J72,"0.00%")&amp;", CPI"</f>
        <v>2.73%, CPI</v>
      </c>
    </row>
    <row r="75" spans="1:29" hidden="1" x14ac:dyDescent="0.25">
      <c r="A75" s="153"/>
      <c r="B75" s="1326"/>
      <c r="D75" s="2">
        <v>0</v>
      </c>
      <c r="E75" s="1249"/>
      <c r="F75" s="2"/>
      <c r="G75" s="1527" t="str">
        <f>IF(D75=0,"0.00%",(H75-D75)/D75)</f>
        <v>0.00%</v>
      </c>
      <c r="H75" s="2">
        <f t="shared" si="56"/>
        <v>0</v>
      </c>
      <c r="I75" s="1240" t="str">
        <f>TEXT('MYP Assumptions'!E72,"0.00%")&amp;", CPI"</f>
        <v>3.11%, CPI</v>
      </c>
      <c r="J75" s="66"/>
      <c r="K75" s="1527" t="str">
        <f t="shared" si="45"/>
        <v>0.00%</v>
      </c>
      <c r="L75" s="2">
        <f t="shared" si="57"/>
        <v>0</v>
      </c>
      <c r="M75" s="1240" t="str">
        <f>TEXT('MYP Assumptions'!F72,"0.00%")&amp;", CPI"</f>
        <v>3.19%, CPI</v>
      </c>
      <c r="O75" s="1527" t="str">
        <f t="shared" si="46"/>
        <v>0.00%</v>
      </c>
      <c r="P75" s="2">
        <f t="shared" si="58"/>
        <v>0</v>
      </c>
      <c r="Q75" s="1240" t="str">
        <f>TEXT('MYP Assumptions'!G72,"0.00%")&amp;", CPI"</f>
        <v>2.86%, CPI</v>
      </c>
      <c r="S75" s="83" t="str">
        <f t="shared" si="47"/>
        <v>0.00%</v>
      </c>
      <c r="T75" s="2">
        <f t="shared" si="53"/>
        <v>0</v>
      </c>
      <c r="U75" s="81" t="str">
        <f>TEXT('MYP Assumptions'!H72,"0.00%")&amp;", CPI"</f>
        <v>2.73%, CPI</v>
      </c>
      <c r="W75" s="83" t="str">
        <f t="shared" si="48"/>
        <v>0.00%</v>
      </c>
      <c r="X75" s="2">
        <f t="shared" si="54"/>
        <v>0</v>
      </c>
      <c r="Y75" s="81" t="str">
        <f>TEXT('MYP Assumptions'!I72,"0.00%")&amp;", CPI"</f>
        <v>2.73%, CPI</v>
      </c>
      <c r="AA75" s="83" t="str">
        <f t="shared" si="49"/>
        <v>0.00%</v>
      </c>
      <c r="AB75" s="2">
        <f t="shared" si="55"/>
        <v>0</v>
      </c>
      <c r="AC75" s="81" t="str">
        <f>TEXT('MYP Assumptions'!J72,"0.00%")&amp;", CPI"</f>
        <v>2.73%, CPI</v>
      </c>
    </row>
    <row r="76" spans="1:29" hidden="1" x14ac:dyDescent="0.25">
      <c r="A76" s="153"/>
      <c r="B76" s="1326"/>
      <c r="D76" s="2">
        <v>0</v>
      </c>
      <c r="E76" s="1249"/>
      <c r="F76" s="2"/>
      <c r="G76" s="1527" t="str">
        <f t="shared" ref="G76:G82" si="59">IF(D76=0,"0.00%",(H76-D76)/D76)</f>
        <v>0.00%</v>
      </c>
      <c r="H76" s="2">
        <f t="shared" si="56"/>
        <v>0</v>
      </c>
      <c r="I76" s="1240" t="str">
        <f>TEXT('MYP Assumptions'!E72,"0.00%")&amp;", CPI"</f>
        <v>3.11%, CPI</v>
      </c>
      <c r="J76" s="66"/>
      <c r="K76" s="1527" t="str">
        <f t="shared" si="45"/>
        <v>0.00%</v>
      </c>
      <c r="L76" s="2">
        <f t="shared" si="57"/>
        <v>0</v>
      </c>
      <c r="M76" s="1240" t="str">
        <f>TEXT('MYP Assumptions'!F72,"0.00%")&amp;", CPI"</f>
        <v>3.19%, CPI</v>
      </c>
      <c r="O76" s="1527" t="str">
        <f t="shared" si="46"/>
        <v>0.00%</v>
      </c>
      <c r="P76" s="2">
        <f t="shared" si="58"/>
        <v>0</v>
      </c>
      <c r="Q76" s="1240" t="str">
        <f>TEXT('MYP Assumptions'!G72,"0.00%")&amp;", CPI"</f>
        <v>2.86%, CPI</v>
      </c>
      <c r="S76" s="83" t="str">
        <f t="shared" si="47"/>
        <v>0.00%</v>
      </c>
      <c r="T76" s="2">
        <f t="shared" si="53"/>
        <v>0</v>
      </c>
      <c r="U76" s="81" t="str">
        <f>TEXT('MYP Assumptions'!H72,"0.00%")&amp;", CPI"</f>
        <v>2.73%, CPI</v>
      </c>
      <c r="W76" s="83" t="str">
        <f t="shared" si="48"/>
        <v>0.00%</v>
      </c>
      <c r="X76" s="2">
        <f t="shared" si="54"/>
        <v>0</v>
      </c>
      <c r="Y76" s="81" t="str">
        <f>TEXT('MYP Assumptions'!I72,"0.00%")&amp;", CPI"</f>
        <v>2.73%, CPI</v>
      </c>
      <c r="AA76" s="83" t="str">
        <f t="shared" si="49"/>
        <v>0.00%</v>
      </c>
      <c r="AB76" s="2">
        <f t="shared" si="55"/>
        <v>0</v>
      </c>
      <c r="AC76" s="81" t="str">
        <f>TEXT('MYP Assumptions'!J72,"0.00%")&amp;", CPI"</f>
        <v>2.73%, CPI</v>
      </c>
    </row>
    <row r="77" spans="1:29" hidden="1" x14ac:dyDescent="0.25">
      <c r="A77" s="153"/>
      <c r="B77" s="1326"/>
      <c r="D77" s="2">
        <v>0</v>
      </c>
      <c r="E77" s="1249"/>
      <c r="F77" s="2"/>
      <c r="G77" s="1527" t="str">
        <f t="shared" si="59"/>
        <v>0.00%</v>
      </c>
      <c r="H77" s="2">
        <f>ROUND(D77*(LEFT(I77,5)+1),0)</f>
        <v>0</v>
      </c>
      <c r="I77" s="1240" t="str">
        <f>TEXT('MYP Assumptions'!E72,"0.00%")&amp;", CPI"</f>
        <v>3.11%, CPI</v>
      </c>
      <c r="J77" s="66"/>
      <c r="K77" s="1527" t="str">
        <f t="shared" si="45"/>
        <v>0.00%</v>
      </c>
      <c r="L77" s="2">
        <f t="shared" si="57"/>
        <v>0</v>
      </c>
      <c r="M77" s="1240" t="str">
        <f>TEXT('MYP Assumptions'!F72,"0.00%")&amp;", CPI"</f>
        <v>3.19%, CPI</v>
      </c>
      <c r="O77" s="1527" t="str">
        <f t="shared" si="46"/>
        <v>0.00%</v>
      </c>
      <c r="P77" s="2">
        <f t="shared" si="58"/>
        <v>0</v>
      </c>
      <c r="Q77" s="1240" t="str">
        <f>TEXT('MYP Assumptions'!G72,"0.00%")&amp;", CPI"</f>
        <v>2.86%, CPI</v>
      </c>
      <c r="S77" s="83" t="str">
        <f t="shared" si="47"/>
        <v>0.00%</v>
      </c>
      <c r="T77" s="2">
        <f t="shared" si="53"/>
        <v>0</v>
      </c>
      <c r="U77" s="81" t="str">
        <f>TEXT('MYP Assumptions'!H72,"0.00%")&amp;", CPI"</f>
        <v>2.73%, CPI</v>
      </c>
      <c r="W77" s="83" t="str">
        <f t="shared" si="48"/>
        <v>0.00%</v>
      </c>
      <c r="X77" s="2">
        <f t="shared" si="54"/>
        <v>0</v>
      </c>
      <c r="Y77" s="81" t="str">
        <f>TEXT('MYP Assumptions'!I72,"0.00%")&amp;", CPI"</f>
        <v>2.73%, CPI</v>
      </c>
      <c r="AA77" s="83" t="str">
        <f t="shared" si="49"/>
        <v>0.00%</v>
      </c>
      <c r="AB77" s="2">
        <f t="shared" si="55"/>
        <v>0</v>
      </c>
      <c r="AC77" s="81" t="str">
        <f>TEXT('MYP Assumptions'!J72,"0.00%")&amp;", CPI"</f>
        <v>2.73%, CPI</v>
      </c>
    </row>
    <row r="78" spans="1:29" hidden="1" x14ac:dyDescent="0.25">
      <c r="A78" s="153"/>
      <c r="B78" s="1326"/>
      <c r="D78" s="2">
        <v>0</v>
      </c>
      <c r="E78" s="1249"/>
      <c r="F78" s="2"/>
      <c r="G78" s="1527" t="str">
        <f t="shared" si="59"/>
        <v>0.00%</v>
      </c>
      <c r="H78" s="2">
        <f>ROUND(D78*(LEFT(I78,5)+1),0)</f>
        <v>0</v>
      </c>
      <c r="I78" s="1240" t="str">
        <f>TEXT('MYP Assumptions'!E72,"0.00%")&amp;", CPI"</f>
        <v>3.11%, CPI</v>
      </c>
      <c r="J78" s="66"/>
      <c r="K78" s="1527" t="str">
        <f t="shared" si="45"/>
        <v>0.00%</v>
      </c>
      <c r="L78" s="2">
        <f t="shared" si="57"/>
        <v>0</v>
      </c>
      <c r="M78" s="1240" t="str">
        <f>TEXT('MYP Assumptions'!F72,"0.00%")&amp;", CPI"</f>
        <v>3.19%, CPI</v>
      </c>
      <c r="O78" s="1527" t="str">
        <f t="shared" si="46"/>
        <v>0.00%</v>
      </c>
      <c r="P78" s="2">
        <f t="shared" si="58"/>
        <v>0</v>
      </c>
      <c r="Q78" s="1240" t="str">
        <f>TEXT('MYP Assumptions'!G72,"0.00%")&amp;", CPI"</f>
        <v>2.86%, CPI</v>
      </c>
      <c r="S78" s="83" t="str">
        <f t="shared" si="47"/>
        <v>0.00%</v>
      </c>
      <c r="T78" s="2">
        <f t="shared" si="53"/>
        <v>0</v>
      </c>
      <c r="U78" s="81" t="str">
        <f>TEXT('MYP Assumptions'!H72,"0.00%")&amp;", CPI"</f>
        <v>2.73%, CPI</v>
      </c>
      <c r="W78" s="83" t="str">
        <f t="shared" si="48"/>
        <v>0.00%</v>
      </c>
      <c r="X78" s="2">
        <f t="shared" si="54"/>
        <v>0</v>
      </c>
      <c r="Y78" s="81" t="str">
        <f>TEXT('MYP Assumptions'!I72,"0.00%")&amp;", CPI"</f>
        <v>2.73%, CPI</v>
      </c>
      <c r="AA78" s="83" t="str">
        <f t="shared" si="49"/>
        <v>0.00%</v>
      </c>
      <c r="AB78" s="2">
        <f t="shared" si="55"/>
        <v>0</v>
      </c>
      <c r="AC78" s="81" t="str">
        <f>TEXT('MYP Assumptions'!J72,"0.00%")&amp;", CPI"</f>
        <v>2.73%, CPI</v>
      </c>
    </row>
    <row r="79" spans="1:29" hidden="1" x14ac:dyDescent="0.25">
      <c r="A79" s="153"/>
      <c r="B79" s="1326"/>
      <c r="D79" s="2">
        <v>0</v>
      </c>
      <c r="E79" s="1249"/>
      <c r="F79" s="2"/>
      <c r="G79" s="1527" t="str">
        <f t="shared" si="59"/>
        <v>0.00%</v>
      </c>
      <c r="H79" s="2">
        <f>ROUND(D79*(LEFT(I79,5)+1),0)</f>
        <v>0</v>
      </c>
      <c r="I79" s="1240" t="str">
        <f>TEXT('MYP Assumptions'!E72,"0.00%")&amp;", CPI"</f>
        <v>3.11%, CPI</v>
      </c>
      <c r="J79" s="66"/>
      <c r="K79" s="1527" t="str">
        <f t="shared" si="45"/>
        <v>0.00%</v>
      </c>
      <c r="L79" s="2">
        <f t="shared" si="57"/>
        <v>0</v>
      </c>
      <c r="M79" s="1240" t="str">
        <f>TEXT('MYP Assumptions'!F72,"0.00%")&amp;", CPI"</f>
        <v>3.19%, CPI</v>
      </c>
      <c r="O79" s="1527" t="str">
        <f t="shared" si="46"/>
        <v>0.00%</v>
      </c>
      <c r="P79" s="2">
        <f t="shared" si="58"/>
        <v>0</v>
      </c>
      <c r="Q79" s="1240" t="str">
        <f>TEXT('MYP Assumptions'!G72,"0.00%")&amp;", CPI"</f>
        <v>2.86%, CPI</v>
      </c>
      <c r="S79" s="83" t="str">
        <f t="shared" si="47"/>
        <v>0.00%</v>
      </c>
      <c r="T79" s="2">
        <f t="shared" si="53"/>
        <v>0</v>
      </c>
      <c r="U79" s="81" t="str">
        <f>TEXT('MYP Assumptions'!H72,"0.00%")&amp;", CPI"</f>
        <v>2.73%, CPI</v>
      </c>
      <c r="W79" s="83" t="str">
        <f t="shared" si="48"/>
        <v>0.00%</v>
      </c>
      <c r="X79" s="2">
        <f t="shared" si="54"/>
        <v>0</v>
      </c>
      <c r="Y79" s="81" t="str">
        <f>TEXT('MYP Assumptions'!I72,"0.00%")&amp;", CPI"</f>
        <v>2.73%, CPI</v>
      </c>
      <c r="AA79" s="83" t="str">
        <f t="shared" si="49"/>
        <v>0.00%</v>
      </c>
      <c r="AB79" s="2">
        <f t="shared" si="55"/>
        <v>0</v>
      </c>
      <c r="AC79" s="81" t="str">
        <f>TEXT('MYP Assumptions'!J72,"0.00%")&amp;", CPI"</f>
        <v>2.73%, CPI</v>
      </c>
    </row>
    <row r="80" spans="1:29" hidden="1" x14ac:dyDescent="0.25">
      <c r="A80" s="153"/>
      <c r="B80" s="1326"/>
      <c r="D80" s="2">
        <v>0</v>
      </c>
      <c r="E80" s="1249"/>
      <c r="F80" s="2"/>
      <c r="G80" s="1527" t="str">
        <f t="shared" si="59"/>
        <v>0.00%</v>
      </c>
      <c r="H80" s="2">
        <f>ROUND(D80*(LEFT(I80,5)+1),0)</f>
        <v>0</v>
      </c>
      <c r="I80" s="1240" t="str">
        <f>TEXT('MYP Assumptions'!E72,"0.00%")&amp;", CPI"</f>
        <v>3.11%, CPI</v>
      </c>
      <c r="J80" s="66"/>
      <c r="K80" s="1527" t="str">
        <f t="shared" si="45"/>
        <v>0.00%</v>
      </c>
      <c r="L80" s="2">
        <f t="shared" si="57"/>
        <v>0</v>
      </c>
      <c r="M80" s="1240" t="str">
        <f>TEXT('MYP Assumptions'!F72,"0.00%")&amp;", CPI"</f>
        <v>3.19%, CPI</v>
      </c>
      <c r="O80" s="1527" t="str">
        <f t="shared" si="46"/>
        <v>0.00%</v>
      </c>
      <c r="P80" s="2">
        <f t="shared" si="58"/>
        <v>0</v>
      </c>
      <c r="Q80" s="1240" t="str">
        <f>TEXT('MYP Assumptions'!G72,"0.00%")&amp;", CPI"</f>
        <v>2.86%, CPI</v>
      </c>
      <c r="S80" s="83" t="str">
        <f t="shared" si="47"/>
        <v>0.00%</v>
      </c>
      <c r="T80" s="2">
        <f t="shared" si="53"/>
        <v>0</v>
      </c>
      <c r="U80" s="81" t="str">
        <f>TEXT('MYP Assumptions'!H72,"0.00%")&amp;", CPI"</f>
        <v>2.73%, CPI</v>
      </c>
      <c r="W80" s="83" t="str">
        <f t="shared" si="48"/>
        <v>0.00%</v>
      </c>
      <c r="X80" s="2">
        <f t="shared" si="54"/>
        <v>0</v>
      </c>
      <c r="Y80" s="81" t="str">
        <f>TEXT('MYP Assumptions'!I72,"0.00%")&amp;", CPI"</f>
        <v>2.73%, CPI</v>
      </c>
      <c r="AA80" s="83" t="str">
        <f t="shared" si="49"/>
        <v>0.00%</v>
      </c>
      <c r="AB80" s="2">
        <f t="shared" si="55"/>
        <v>0</v>
      </c>
      <c r="AC80" s="81" t="str">
        <f>TEXT('MYP Assumptions'!J72,"0.00%")&amp;", CPI"</f>
        <v>2.73%, CPI</v>
      </c>
    </row>
    <row r="81" spans="1:29" hidden="1" x14ac:dyDescent="0.25">
      <c r="A81" s="153"/>
      <c r="B81" s="1326"/>
      <c r="D81" s="2">
        <f>'RS 3010-ALL'!AF80</f>
        <v>0</v>
      </c>
      <c r="E81" s="1249"/>
      <c r="F81" s="2"/>
      <c r="G81" s="1527" t="str">
        <f t="shared" si="59"/>
        <v>0.00%</v>
      </c>
      <c r="H81" s="2">
        <f>ROUND(D81*(LEFT(I81,5)+1),0)</f>
        <v>0</v>
      </c>
      <c r="I81" s="1240" t="str">
        <f>TEXT('MYP Assumptions'!E72,"0.00%")&amp;", CPI"</f>
        <v>3.11%, CPI</v>
      </c>
      <c r="J81" s="66"/>
      <c r="K81" s="1527" t="str">
        <f t="shared" si="45"/>
        <v>0.00%</v>
      </c>
      <c r="L81" s="2">
        <f t="shared" si="57"/>
        <v>0</v>
      </c>
      <c r="M81" s="1240" t="str">
        <f>TEXT('MYP Assumptions'!F72,"0.00%")&amp;", CPI"</f>
        <v>3.19%, CPI</v>
      </c>
      <c r="O81" s="1527" t="str">
        <f t="shared" si="46"/>
        <v>0.00%</v>
      </c>
      <c r="P81" s="2">
        <f t="shared" si="58"/>
        <v>0</v>
      </c>
      <c r="Q81" s="1240" t="str">
        <f>TEXT('MYP Assumptions'!G72,"0.00%")&amp;", CPI"</f>
        <v>2.86%, CPI</v>
      </c>
      <c r="S81" s="83" t="str">
        <f t="shared" si="47"/>
        <v>0.00%</v>
      </c>
      <c r="T81" s="2">
        <f t="shared" si="53"/>
        <v>0</v>
      </c>
      <c r="U81" s="81" t="str">
        <f>TEXT('MYP Assumptions'!H72,"0.00%")&amp;", CPI"</f>
        <v>2.73%, CPI</v>
      </c>
      <c r="W81" s="83" t="str">
        <f t="shared" si="48"/>
        <v>0.00%</v>
      </c>
      <c r="X81" s="2">
        <f t="shared" si="54"/>
        <v>0</v>
      </c>
      <c r="Y81" s="81" t="str">
        <f>TEXT('MYP Assumptions'!I72,"0.00%")&amp;", CPI"</f>
        <v>2.73%, CPI</v>
      </c>
      <c r="AA81" s="83" t="str">
        <f t="shared" si="49"/>
        <v>0.00%</v>
      </c>
      <c r="AB81" s="2">
        <f t="shared" si="55"/>
        <v>0</v>
      </c>
      <c r="AC81" s="81" t="str">
        <f>TEXT('MYP Assumptions'!J72,"0.00%")&amp;", CPI"</f>
        <v>2.73%, CPI</v>
      </c>
    </row>
    <row r="82" spans="1:29" x14ac:dyDescent="0.25">
      <c r="A82" s="154"/>
      <c r="D82" s="8">
        <f>SUM(D69:D81)</f>
        <v>21398</v>
      </c>
      <c r="E82" s="1249"/>
      <c r="F82" s="2"/>
      <c r="G82" s="1527">
        <f t="shared" si="59"/>
        <v>-0.20553322740443031</v>
      </c>
      <c r="H82" s="8">
        <f>SUM(H69:H81)</f>
        <v>17000</v>
      </c>
      <c r="I82" s="1882">
        <f>+H82-D82</f>
        <v>-4398</v>
      </c>
      <c r="J82" s="29"/>
      <c r="K82" s="1527">
        <f t="shared" si="45"/>
        <v>0</v>
      </c>
      <c r="L82" s="8">
        <f>SUM(L69:L81)</f>
        <v>17000</v>
      </c>
      <c r="M82" s="1882">
        <f>+L82-H82</f>
        <v>0</v>
      </c>
      <c r="O82" s="1527">
        <f t="shared" si="46"/>
        <v>0</v>
      </c>
      <c r="P82" s="8">
        <f>SUM(P69:P81)</f>
        <v>17000</v>
      </c>
      <c r="Q82" s="1882">
        <f>+P82-L82</f>
        <v>0</v>
      </c>
      <c r="S82" s="83">
        <f t="shared" si="47"/>
        <v>2.7294117647058823E-2</v>
      </c>
      <c r="T82" s="8">
        <f>SUM(T69:T81)</f>
        <v>17464</v>
      </c>
      <c r="U82" s="73"/>
      <c r="W82" s="83">
        <f t="shared" si="48"/>
        <v>2.7313330279431974E-2</v>
      </c>
      <c r="X82" s="8">
        <f>SUM(X69:X81)</f>
        <v>17941</v>
      </c>
      <c r="Y82" s="73"/>
      <c r="AA82" s="83">
        <f t="shared" si="49"/>
        <v>2.7311744049941473E-2</v>
      </c>
      <c r="AB82" s="8">
        <f>SUM(AB69:AB81)</f>
        <v>18431</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179888</v>
      </c>
      <c r="E85" s="1249"/>
      <c r="F85" s="2"/>
      <c r="G85" s="1527">
        <f>IF(D85=0,"0.00%",(H85-D85)/D85)</f>
        <v>-0.10632727030152095</v>
      </c>
      <c r="H85" s="8">
        <f>SUM(H82,H66,H55,H13)</f>
        <v>160761</v>
      </c>
      <c r="I85" s="1882">
        <f>+H85-D85</f>
        <v>-19127</v>
      </c>
      <c r="J85" s="29"/>
      <c r="K85" s="1527">
        <f>IF(H85=0,"0.00%",(L85-H85)/H85)</f>
        <v>0</v>
      </c>
      <c r="L85" s="8">
        <f>SUM(L82,L66,L55,L13)</f>
        <v>160761</v>
      </c>
      <c r="M85" s="1882">
        <f>+L85-H85</f>
        <v>0</v>
      </c>
      <c r="O85" s="1527">
        <f>IF(L85=0,"0.00%",(P85-L85)/L85)</f>
        <v>0</v>
      </c>
      <c r="P85" s="8">
        <f>SUM(P82,P66,P55,P13)</f>
        <v>160761</v>
      </c>
      <c r="Q85" s="1882">
        <f>+P85-L85</f>
        <v>0</v>
      </c>
      <c r="S85" s="83">
        <f>IF(P85=0,"0.00%",(T85-P85)/P85)</f>
        <v>2.7419585596008982E-2</v>
      </c>
      <c r="T85" s="8">
        <f>SUM(T82,T66,T55,T13)</f>
        <v>165169</v>
      </c>
      <c r="U85" s="73"/>
      <c r="W85" s="83">
        <f>IF(T85=0,"0.00%",(X85-T85)/T85)</f>
        <v>2.5283194788368279E-2</v>
      </c>
      <c r="X85" s="8">
        <f>SUM(X82,X66,X55,X13)</f>
        <v>169345</v>
      </c>
      <c r="Y85" s="73"/>
      <c r="AA85" s="83">
        <f>IF(X85=0,"0.00%",(AB85-X85)/X85)</f>
        <v>2.5291564557560011E-2</v>
      </c>
      <c r="AB85" s="8">
        <f>SUM(AB82,AB66,AB55,AB13)</f>
        <v>173628</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0</v>
      </c>
      <c r="G87" s="1527" t="str">
        <f>IF(D87=0,"0.00%",(H87-D87)/D87)</f>
        <v>0.00%</v>
      </c>
      <c r="H87" s="3">
        <f>H11-H85</f>
        <v>0</v>
      </c>
      <c r="I87" s="1257"/>
      <c r="J87" s="66"/>
      <c r="K87" s="1527" t="str">
        <f>IF(H87=0,"0.00%",(L87-H87)/H87)</f>
        <v>0.00%</v>
      </c>
      <c r="L87" s="3">
        <f>L11-L85</f>
        <v>0</v>
      </c>
      <c r="M87" s="1335"/>
      <c r="O87" s="1527" t="str">
        <f>IF(L87=0,"0.00%",(P87-L87)/L87)</f>
        <v>0.00%</v>
      </c>
      <c r="P87" s="3">
        <f>P11-P85</f>
        <v>0</v>
      </c>
      <c r="Q87" s="1335"/>
      <c r="S87" s="83" t="str">
        <f>IF(P87=0,"0.00%",(T87-P87)/P87)</f>
        <v>0.00%</v>
      </c>
      <c r="T87" s="3">
        <f>T11-T85</f>
        <v>-165169</v>
      </c>
      <c r="U87" s="73"/>
      <c r="W87" s="83">
        <f>IF(T87=0,"0.00%",(X87-T87)/T87)</f>
        <v>2.5283194788368279E-2</v>
      </c>
      <c r="X87" s="3">
        <f>X11-X85</f>
        <v>-169345</v>
      </c>
      <c r="Y87" s="73"/>
      <c r="AA87" s="83">
        <f>IF(X87=0,"0.00%",(AB87-X87)/X87)</f>
        <v>2.5291564557560011E-2</v>
      </c>
      <c r="AB87" s="3">
        <f>AB11-AB85</f>
        <v>-173628</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0</v>
      </c>
      <c r="G89" s="1527" t="str">
        <f>IF(D89=0,"0.00%",(H89-D89)/D89)</f>
        <v>0.00%</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-165169</v>
      </c>
      <c r="U89" s="73"/>
      <c r="W89" s="83">
        <f>IF(T89=0,"0.00%",(X89-T89)/T89)</f>
        <v>1.0252831947883683</v>
      </c>
      <c r="X89" s="49">
        <f>X7+X87</f>
        <v>-334514</v>
      </c>
      <c r="Y89" s="73"/>
      <c r="AA89" s="83">
        <f>IF(X89=0,"0.00%",(AB89-X89)/X89)</f>
        <v>0.51904554069485886</v>
      </c>
      <c r="AB89" s="49">
        <f>AB7+AB87</f>
        <v>-508142</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57"/>
      <c r="B95" s="1329"/>
      <c r="C95" s="1330" t="s">
        <v>226</v>
      </c>
      <c r="D95" s="135">
        <f>+D82+D66+D53+D41+D30</f>
        <v>179888</v>
      </c>
      <c r="E95" s="1251"/>
      <c r="G95" s="1541" t="s">
        <v>226</v>
      </c>
      <c r="H95" s="135">
        <f>+H82+H66+H53+H41+H30</f>
        <v>160761</v>
      </c>
      <c r="I95" s="1260"/>
      <c r="J95" s="136"/>
      <c r="K95" s="1541" t="s">
        <v>226</v>
      </c>
      <c r="L95" s="135">
        <f>+L82+L66+L53+L41+L30</f>
        <v>160761</v>
      </c>
      <c r="M95" s="1338"/>
      <c r="O95" s="1541" t="s">
        <v>226</v>
      </c>
      <c r="P95" s="135">
        <f>+P82+P66+P53+P41+P30</f>
        <v>160761</v>
      </c>
      <c r="Q95" s="1338"/>
      <c r="R95" s="140"/>
      <c r="S95" s="134" t="s">
        <v>226</v>
      </c>
      <c r="T95" s="135">
        <f>+T82+T66+T53+T41+T30</f>
        <v>165169</v>
      </c>
      <c r="U95" s="139"/>
      <c r="W95" s="134" t="s">
        <v>226</v>
      </c>
      <c r="X95" s="135">
        <f>+X82+X66+X53+X41+X30</f>
        <v>169345</v>
      </c>
      <c r="Y95" s="139"/>
      <c r="AA95" s="134" t="s">
        <v>226</v>
      </c>
      <c r="AB95" s="135">
        <f>+AB82+AB66+AB53+AB41+AB30</f>
        <v>173628</v>
      </c>
      <c r="AC95" s="139"/>
    </row>
    <row r="96" spans="1:29" s="138" customFormat="1" ht="11.25" x14ac:dyDescent="0.2">
      <c r="A96" s="159"/>
      <c r="B96" s="1329"/>
      <c r="C96" s="1331" t="s">
        <v>227</v>
      </c>
      <c r="D96" s="143">
        <f>+D13</f>
        <v>0</v>
      </c>
      <c r="E96" s="1252"/>
      <c r="F96" s="145"/>
      <c r="G96" s="1546" t="s">
        <v>227</v>
      </c>
      <c r="H96" s="143">
        <f>+H13</f>
        <v>0</v>
      </c>
      <c r="I96" s="1261"/>
      <c r="J96" s="144"/>
      <c r="K96" s="1546" t="s">
        <v>227</v>
      </c>
      <c r="L96" s="143">
        <f>+L13</f>
        <v>0</v>
      </c>
      <c r="M96" s="1338"/>
      <c r="O96" s="1546" t="s">
        <v>227</v>
      </c>
      <c r="P96" s="143">
        <f>+P13</f>
        <v>0</v>
      </c>
      <c r="Q96" s="1251"/>
      <c r="R96" s="140"/>
      <c r="S96" s="142" t="s">
        <v>227</v>
      </c>
      <c r="T96" s="143">
        <f>+T13</f>
        <v>0</v>
      </c>
      <c r="W96" s="142" t="s">
        <v>227</v>
      </c>
      <c r="X96" s="143">
        <f>+X13</f>
        <v>0</v>
      </c>
      <c r="AA96" s="142" t="s">
        <v>227</v>
      </c>
      <c r="AB96" s="143">
        <f>+AB13</f>
        <v>0</v>
      </c>
    </row>
    <row r="97" spans="1:28" s="138" customFormat="1" ht="11.25" x14ac:dyDescent="0.2">
      <c r="A97" s="159"/>
      <c r="B97" s="1329"/>
      <c r="C97" s="1331"/>
      <c r="D97" s="146">
        <f>+D95+D96</f>
        <v>179888</v>
      </c>
      <c r="E97" s="1252"/>
      <c r="F97" s="145"/>
      <c r="G97" s="1546"/>
      <c r="H97" s="146">
        <f>+H95+H96</f>
        <v>160761</v>
      </c>
      <c r="I97" s="1261"/>
      <c r="J97" s="144"/>
      <c r="K97" s="1546"/>
      <c r="L97" s="146">
        <f>+L95+L96</f>
        <v>160761</v>
      </c>
      <c r="M97" s="1251"/>
      <c r="O97" s="1546"/>
      <c r="P97" s="146">
        <f>+P95+P96</f>
        <v>160761</v>
      </c>
      <c r="Q97" s="1251"/>
      <c r="R97" s="140"/>
      <c r="S97" s="142"/>
      <c r="T97" s="146">
        <f>+T95+T96</f>
        <v>165169</v>
      </c>
      <c r="W97" s="142"/>
      <c r="X97" s="146">
        <f>+X95+X96</f>
        <v>169345</v>
      </c>
      <c r="AA97" s="142"/>
      <c r="AB97" s="146">
        <f>+AB95+AB96</f>
        <v>173628</v>
      </c>
    </row>
    <row r="98" spans="1:28" ht="15"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44"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8.7109375" style="1550" bestFit="1"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20" t="s">
        <v>232</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6010</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D4" s="36"/>
      <c r="E4" s="1254"/>
      <c r="F4" s="51"/>
      <c r="G4" s="1540"/>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D89</f>
        <v>0</v>
      </c>
      <c r="I7" s="1315"/>
      <c r="J7" s="60"/>
      <c r="L7" s="2">
        <f>H89</f>
        <v>0</v>
      </c>
      <c r="M7" s="1315"/>
      <c r="P7" s="2">
        <f>L89</f>
        <v>0</v>
      </c>
      <c r="Q7" s="1315"/>
      <c r="T7" s="2">
        <f>P89</f>
        <v>0</v>
      </c>
      <c r="U7" s="105"/>
      <c r="X7" s="2">
        <f>T89</f>
        <v>-5865</v>
      </c>
      <c r="Y7" s="105"/>
      <c r="AB7" s="2">
        <f>X89</f>
        <v>-18323</v>
      </c>
      <c r="AC7" s="105"/>
    </row>
    <row r="8" spans="1:29" x14ac:dyDescent="0.25">
      <c r="E8" s="1315"/>
      <c r="H8" s="2"/>
      <c r="I8" s="1315"/>
      <c r="L8" s="2"/>
      <c r="M8" s="1315"/>
      <c r="Q8" s="1315"/>
      <c r="U8" s="105"/>
      <c r="Y8" s="105"/>
      <c r="AC8" s="105"/>
    </row>
    <row r="9" spans="1:29" x14ac:dyDescent="0.25">
      <c r="B9" s="1317" t="s">
        <v>52</v>
      </c>
      <c r="C9" s="1243" t="s">
        <v>53</v>
      </c>
      <c r="D9" s="2">
        <v>217800</v>
      </c>
      <c r="E9" s="1315"/>
      <c r="G9" s="1527">
        <f>IF(D9=0,"0.00%",(H9-D9)/D9)</f>
        <v>0</v>
      </c>
      <c r="H9" s="3">
        <f>+D9</f>
        <v>217800</v>
      </c>
      <c r="I9" s="1315" t="s">
        <v>174</v>
      </c>
      <c r="J9" s="61"/>
      <c r="K9" s="1527">
        <f>IF(H9=0,"0.00%",(L9-H9)/H9)</f>
        <v>0</v>
      </c>
      <c r="L9" s="3">
        <f>+H9</f>
        <v>217800</v>
      </c>
      <c r="M9" s="1315" t="s">
        <v>174</v>
      </c>
      <c r="O9" s="1527">
        <f>IF(L9=0,"0.00%",(P9-L9)/L9)</f>
        <v>0</v>
      </c>
      <c r="P9" s="3">
        <f>+L9</f>
        <v>217800</v>
      </c>
      <c r="Q9" s="1315" t="s">
        <v>174</v>
      </c>
      <c r="S9" s="83">
        <f>IF(P9=0,"0.00%",(T9-P9)/P9)</f>
        <v>0</v>
      </c>
      <c r="T9" s="3">
        <f>+P9</f>
        <v>217800</v>
      </c>
      <c r="U9" s="105"/>
      <c r="W9" s="83">
        <f>IF(T9=0,"0.00%",(X9-T9)/T9)</f>
        <v>0</v>
      </c>
      <c r="X9" s="3">
        <f>+T9</f>
        <v>217800</v>
      </c>
      <c r="Y9" s="105"/>
      <c r="AA9" s="83">
        <f>IF(X9=0,"0.00%",(AB9-X9)/X9)</f>
        <v>0</v>
      </c>
      <c r="AB9" s="3">
        <f>+X9:X10</f>
        <v>217800</v>
      </c>
      <c r="AC9" s="105"/>
    </row>
    <row r="10" spans="1:29" x14ac:dyDescent="0.25">
      <c r="C10" s="1243" t="s">
        <v>51</v>
      </c>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217800</v>
      </c>
      <c r="E11" s="1315"/>
      <c r="G11" s="1527">
        <f t="shared" si="0"/>
        <v>0</v>
      </c>
      <c r="H11" s="8">
        <f>SUM(H9:H10)</f>
        <v>217800</v>
      </c>
      <c r="I11" s="1882">
        <f>+H11-D11</f>
        <v>0</v>
      </c>
      <c r="J11" s="62"/>
      <c r="K11" s="1527">
        <f>IF(H11=0,"0.00%",(L11-H11)/H11)</f>
        <v>0</v>
      </c>
      <c r="L11" s="8">
        <f>SUM(L9:L10)</f>
        <v>217800</v>
      </c>
      <c r="M11" s="1882">
        <f>+L11-H11</f>
        <v>0</v>
      </c>
      <c r="O11" s="1527">
        <f>IF(L11=0,"0.00%",(P11-L11)/L11)</f>
        <v>0</v>
      </c>
      <c r="P11" s="8">
        <f>SUM(P9:P10)</f>
        <v>217800</v>
      </c>
      <c r="Q11" s="1882">
        <f>+P11-L11</f>
        <v>0</v>
      </c>
      <c r="S11" s="83">
        <f>IF(P11=0,"0.00%",(T11-P11)/P11)</f>
        <v>0</v>
      </c>
      <c r="T11" s="78">
        <f>SUM(T9:T10)</f>
        <v>217800</v>
      </c>
      <c r="U11" s="105"/>
      <c r="W11" s="83">
        <f>IF(T11=0,"0.00%",(X11-T11)/T11)</f>
        <v>0</v>
      </c>
      <c r="X11" s="78">
        <f>SUM(X9:X10)</f>
        <v>217800</v>
      </c>
      <c r="Y11" s="105"/>
      <c r="AA11" s="83">
        <f>IF(X11=0,"0.00%",(AB11-X11)/X11)</f>
        <v>0</v>
      </c>
      <c r="AB11" s="78">
        <f>SUM(AB9:AB10)</f>
        <v>217800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C13" s="1325" t="s">
        <v>64</v>
      </c>
      <c r="D13" s="9">
        <f>ROUND(D11-(D11/(1+E13)),0)</f>
        <v>7771</v>
      </c>
      <c r="E13" s="1426">
        <v>3.6999999999999998E-2</v>
      </c>
      <c r="G13" s="1527">
        <f t="shared" si="0"/>
        <v>0.1914811478574186</v>
      </c>
      <c r="H13" s="9">
        <f>ROUND(H11-(H11/(1+I13)),0)</f>
        <v>9259</v>
      </c>
      <c r="I13" s="1488">
        <v>4.4400000000000002E-2</v>
      </c>
      <c r="J13" s="64"/>
      <c r="K13" s="1527">
        <f>IF(H13=0,"0.00%",(L13-H13)/H13)</f>
        <v>0</v>
      </c>
      <c r="L13" s="9">
        <f>ROUND(L11-(L11/(1+M13)),0)</f>
        <v>9259</v>
      </c>
      <c r="M13" s="1488">
        <v>4.4400000000000002E-2</v>
      </c>
      <c r="O13" s="1527">
        <f>IF(L13=0,"0.00%",(P13-L13)/L13)</f>
        <v>0</v>
      </c>
      <c r="P13" s="9">
        <f>ROUND(P11-(P11/(1+Q13)),0)</f>
        <v>9259</v>
      </c>
      <c r="Q13" s="1488">
        <v>4.4400000000000002E-2</v>
      </c>
      <c r="S13" s="83">
        <f>IF(P13=0,"0.00%",(T13-P13)/P13)</f>
        <v>-0.16070849983799546</v>
      </c>
      <c r="T13" s="77">
        <f>ROUND(T11-(T11/(1+E13)),0)</f>
        <v>7771</v>
      </c>
      <c r="U13" s="105"/>
      <c r="W13" s="83">
        <f>IF(T13=0,"0.00%",(X13-T13)/T13)</f>
        <v>0</v>
      </c>
      <c r="X13" s="77">
        <f>ROUND(X11-(X11/(1+E13)),0)</f>
        <v>7771</v>
      </c>
      <c r="Y13" s="105"/>
      <c r="AA13" s="83">
        <f>IF(X13=0,"0.00%",(AB13-X13)/X13)</f>
        <v>3.5041822159310256</v>
      </c>
      <c r="AB13" s="77">
        <f>ROUND(AB11-(AB11/(1+G13)),0)</f>
        <v>35002</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210029</v>
      </c>
      <c r="E15" s="1315"/>
      <c r="G15" s="1527">
        <f t="shared" si="0"/>
        <v>-7.0847359174209274E-3</v>
      </c>
      <c r="H15" s="9">
        <f>H11-H13</f>
        <v>208541</v>
      </c>
      <c r="I15" s="1882">
        <f>+H15-D15</f>
        <v>-1488</v>
      </c>
      <c r="J15" s="62"/>
      <c r="K15" s="1527">
        <f>IF(H15=0,"0.00%",(L15-H15)/H15)</f>
        <v>0</v>
      </c>
      <c r="L15" s="9">
        <f>L11-L13</f>
        <v>208541</v>
      </c>
      <c r="M15" s="1882">
        <f>+L15-H15</f>
        <v>0</v>
      </c>
      <c r="O15" s="1527">
        <f>IF(L15=0,"0.00%",(P15-L15)/L15)</f>
        <v>0</v>
      </c>
      <c r="P15" s="9">
        <f>P11-P13</f>
        <v>208541</v>
      </c>
      <c r="Q15" s="1882">
        <f>+P15-L15</f>
        <v>0</v>
      </c>
      <c r="S15" s="83">
        <f>IF(P15=0,"0.00%",(T15-P15)/P15)</f>
        <v>7.1352875453747702E-3</v>
      </c>
      <c r="T15" s="19">
        <f>T11-T13</f>
        <v>210029</v>
      </c>
      <c r="U15" s="105"/>
      <c r="W15" s="83">
        <f>IF(T15=0,"0.00%",(X15-T15)/T15)</f>
        <v>0</v>
      </c>
      <c r="X15" s="19">
        <f>X11-X13</f>
        <v>210029</v>
      </c>
      <c r="Y15" s="105"/>
      <c r="AA15" s="83">
        <f>IF(X15=0,"0.00%",(AB15-X15)/X15)</f>
        <v>-0.12965352403715677</v>
      </c>
      <c r="AB15" s="19">
        <f>AB11-AB13</f>
        <v>182798</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397">
        <v>0.02</v>
      </c>
      <c r="N19" s="479"/>
      <c r="P19" s="1496" t="s">
        <v>48</v>
      </c>
      <c r="Q19" s="1397">
        <v>0.02</v>
      </c>
      <c r="T19" s="14" t="s">
        <v>48</v>
      </c>
      <c r="U19" s="104">
        <v>0.02</v>
      </c>
      <c r="X19" s="14" t="s">
        <v>48</v>
      </c>
      <c r="Y19" s="104">
        <v>0.02</v>
      </c>
      <c r="AB19" s="14" t="s">
        <v>48</v>
      </c>
      <c r="AC19" s="104">
        <v>0.02</v>
      </c>
    </row>
    <row r="20" spans="1:29" s="13" customFormat="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x14ac:dyDescent="0.25">
      <c r="A21" s="152"/>
      <c r="B21" s="1326">
        <v>1110</v>
      </c>
      <c r="C21" s="1243" t="s">
        <v>233</v>
      </c>
      <c r="D21" s="2">
        <v>8938</v>
      </c>
      <c r="E21" s="1249"/>
      <c r="F21" s="2"/>
      <c r="G21" s="1527">
        <f t="shared" ref="G21:G30" si="1">IF(D21=0,"0.00%",(H21-D21)/D21)</f>
        <v>-1</v>
      </c>
      <c r="H21" s="2">
        <v>0</v>
      </c>
      <c r="I21" s="1240"/>
      <c r="J21" s="66"/>
      <c r="K21" s="1527" t="str">
        <f t="shared" ref="K21:K27" si="2">IF(H21=0,"0.00%",(L21-H21)/H21)</f>
        <v>0.00%</v>
      </c>
      <c r="L21" s="2">
        <f>ROUND(H21*(1+M19),0)</f>
        <v>0</v>
      </c>
      <c r="M21" s="1257"/>
      <c r="O21" s="1527" t="str">
        <f t="shared" ref="O21:O27" si="3">IF(L21=0,"0.00%",(P21-L21)/L21)</f>
        <v>0.00%</v>
      </c>
      <c r="P21" s="2">
        <f>ROUND(L21*(1+Q19),0)</f>
        <v>0</v>
      </c>
      <c r="Q21" s="1257"/>
      <c r="S21" s="83" t="str">
        <f t="shared" ref="S21:S27" si="4">IF(P21=0,"0.00%",(T21-P21)/P21)</f>
        <v>0.00%</v>
      </c>
      <c r="T21" s="2">
        <f>ROUND(P21*(1+U19),0)</f>
        <v>0</v>
      </c>
      <c r="U21" s="36" t="str">
        <f>TEXT(U19,"0.0%")&amp;" = Est. S &amp; C"</f>
        <v>2.0% = Est. S &amp; C</v>
      </c>
      <c r="W21" s="83" t="str">
        <f t="shared" ref="W21:W27" si="5">IF(T21=0,"0.00%",(X21-T21)/T21)</f>
        <v>0.00%</v>
      </c>
      <c r="X21" s="2">
        <f>ROUND(T21*(1+Y19),0)</f>
        <v>0</v>
      </c>
      <c r="Y21" s="36" t="str">
        <f>TEXT(Y19,"0.0%")&amp;" = Est. S &amp; C"</f>
        <v>2.0% = Est. S &amp; C</v>
      </c>
      <c r="AA21" s="83" t="str">
        <f t="shared" ref="AA21:AA27" si="6">IF(X21=0,"0.00%",(AB21-X21)/X21)</f>
        <v>0.00%</v>
      </c>
      <c r="AB21" s="2">
        <f>ROUND(X21*(1+AC19),0)</f>
        <v>0</v>
      </c>
      <c r="AC21" s="36" t="str">
        <f>TEXT(AC19,"0.0%")&amp;" = Est. S &amp; C"</f>
        <v>2.0% = Est. S &amp; C</v>
      </c>
    </row>
    <row r="22" spans="1:29" x14ac:dyDescent="0.25">
      <c r="A22" s="153"/>
      <c r="B22" s="1326"/>
      <c r="D22" s="2">
        <v>0</v>
      </c>
      <c r="E22" s="1249"/>
      <c r="F22" s="2"/>
      <c r="G22" s="1527" t="str">
        <f t="shared" si="1"/>
        <v>0.00%</v>
      </c>
      <c r="H22" s="2">
        <v>0</v>
      </c>
      <c r="I22" s="1257"/>
      <c r="J22" s="66"/>
      <c r="K22" s="1527" t="str">
        <f t="shared" si="2"/>
        <v>0.00%</v>
      </c>
      <c r="L22" s="2">
        <f>+H22</f>
        <v>0</v>
      </c>
      <c r="M22" s="1257"/>
      <c r="O22" s="1527" t="str">
        <f t="shared" si="3"/>
        <v>0.00%</v>
      </c>
      <c r="P22" s="2">
        <f>+L22</f>
        <v>0</v>
      </c>
      <c r="Q22" s="1257">
        <f>+M22</f>
        <v>0</v>
      </c>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ref="H23:H27" si="7">ROUND(D23*(1+$I$19),0)</f>
        <v>0</v>
      </c>
      <c r="I23" s="1257" t="str">
        <f t="shared" ref="I23:I28" si="8">TEXT($I$19,"0.0%")&amp;" = Est. S &amp; C"</f>
        <v>0.0% = Est. S &amp; C</v>
      </c>
      <c r="J23" s="66"/>
      <c r="K23" s="1527" t="str">
        <f t="shared" si="2"/>
        <v>0.00%</v>
      </c>
      <c r="L23" s="2">
        <f>ROUND(H23*(1+M19),0)</f>
        <v>0</v>
      </c>
      <c r="M23" s="1257" t="str">
        <f>TEXT(M19,"0.0%")&amp;" = Est. S &amp; C"</f>
        <v>2.0% = Est. S &amp; C</v>
      </c>
      <c r="O23" s="1527" t="str">
        <f t="shared" si="3"/>
        <v>0.00%</v>
      </c>
      <c r="P23" s="2">
        <f>ROUND(L23*(1+Q19),0)</f>
        <v>0</v>
      </c>
      <c r="Q23" s="1257"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7"/>
        <v>0</v>
      </c>
      <c r="I24" s="1257" t="str">
        <f t="shared" si="8"/>
        <v>0.0% = Est. S &amp; C</v>
      </c>
      <c r="J24" s="66"/>
      <c r="K24" s="1527" t="str">
        <f t="shared" si="2"/>
        <v>0.00%</v>
      </c>
      <c r="L24" s="2">
        <f>ROUND(H24*(1+M19),0)</f>
        <v>0</v>
      </c>
      <c r="M24" s="1257" t="str">
        <f>TEXT(M19,"0.0%")&amp;" = Est. S &amp; C"</f>
        <v>2.0% = Est. S &amp; C</v>
      </c>
      <c r="O24" s="1527" t="str">
        <f t="shared" si="3"/>
        <v>0.00%</v>
      </c>
      <c r="P24" s="2">
        <f>ROUND(L24*(1+Q19),0)</f>
        <v>0</v>
      </c>
      <c r="Q24" s="125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7"/>
        <v>0</v>
      </c>
      <c r="I25" s="1257" t="str">
        <f t="shared" si="8"/>
        <v>0.0% = Est. S &amp; C</v>
      </c>
      <c r="J25" s="66"/>
      <c r="K25" s="1527" t="str">
        <f t="shared" si="2"/>
        <v>0.00%</v>
      </c>
      <c r="L25" s="2">
        <f>ROUND(H25*(1+M19),0)</f>
        <v>0</v>
      </c>
      <c r="M25" s="1257" t="str">
        <f>TEXT(M19,"0.0%")&amp;" = Est. S &amp; C"</f>
        <v>2.0% = Est. S &amp; C</v>
      </c>
      <c r="O25" s="1527" t="str">
        <f t="shared" si="3"/>
        <v>0.00%</v>
      </c>
      <c r="P25" s="2">
        <f>ROUND(L25*(1+Q19),0)</f>
        <v>0</v>
      </c>
      <c r="Q25" s="125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7"/>
        <v>0</v>
      </c>
      <c r="I26" s="1257" t="str">
        <f t="shared" si="8"/>
        <v>0.0% = Est. S &amp; C</v>
      </c>
      <c r="J26" s="66"/>
      <c r="K26" s="1527" t="str">
        <f t="shared" si="2"/>
        <v>0.00%</v>
      </c>
      <c r="L26" s="2">
        <f>ROUND(H26*(1+M19),0)</f>
        <v>0</v>
      </c>
      <c r="M26" s="1257" t="str">
        <f>TEXT(M19,"0.0%")&amp;" = Est. S &amp; C"</f>
        <v>2.0% = Est. S &amp; C</v>
      </c>
      <c r="O26" s="1527" t="str">
        <f t="shared" si="3"/>
        <v>0.00%</v>
      </c>
      <c r="P26" s="2">
        <f>ROUND(L26*(1+Q19),0)</f>
        <v>0</v>
      </c>
      <c r="Q26" s="125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7"/>
        <v>0</v>
      </c>
      <c r="I27" s="1257" t="str">
        <f t="shared" si="8"/>
        <v>0.0% = Est. S &amp; C</v>
      </c>
      <c r="J27" s="66"/>
      <c r="K27" s="1527" t="str">
        <f t="shared" si="2"/>
        <v>0.00%</v>
      </c>
      <c r="L27" s="2">
        <f>ROUND(H27*(1+M19),0)</f>
        <v>0</v>
      </c>
      <c r="M27" s="1257" t="str">
        <f>TEXT(M19,"0.0%")&amp;" = Est. S &amp; C"</f>
        <v>2.0% = Est. S &amp; C</v>
      </c>
      <c r="O27" s="1527" t="str">
        <f t="shared" si="3"/>
        <v>0.00%</v>
      </c>
      <c r="P27" s="2">
        <f>ROUND(L27*(1+Q19),0)</f>
        <v>0</v>
      </c>
      <c r="Q27" s="1257"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8"/>
        <v>0.0%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x14ac:dyDescent="0.25">
      <c r="A30" s="154"/>
      <c r="B30" s="1326"/>
      <c r="D30" s="8">
        <f>SUM(D21:D29)</f>
        <v>8938</v>
      </c>
      <c r="E30" s="1249"/>
      <c r="F30" s="2"/>
      <c r="G30" s="1527">
        <f t="shared" si="1"/>
        <v>-1</v>
      </c>
      <c r="H30" s="8">
        <f>SUM(H21:H29)</f>
        <v>0</v>
      </c>
      <c r="I30" s="1882">
        <f>+H30-D30</f>
        <v>-8938</v>
      </c>
      <c r="J30" s="29"/>
      <c r="K30" s="1527" t="str">
        <f>IF(H30=0,"0.00%",(L30-H30)/H30)</f>
        <v>0.00%</v>
      </c>
      <c r="L30" s="8">
        <f>SUM(L21:L29)</f>
        <v>0</v>
      </c>
      <c r="M30" s="1882">
        <f>+L30-H30</f>
        <v>0</v>
      </c>
      <c r="O30" s="1527" t="str">
        <f>IF(L30=0,"0.00%",(P30-L30)/L30)</f>
        <v>0.00%</v>
      </c>
      <c r="P30" s="8">
        <f>SUM(P21:P29)</f>
        <v>0</v>
      </c>
      <c r="Q30" s="1882">
        <f>+P30-L30</f>
        <v>0</v>
      </c>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3"/>
      <c r="E31" s="1249"/>
      <c r="F31" s="2"/>
      <c r="H31" s="2"/>
      <c r="I31" s="1240"/>
      <c r="J31" s="66"/>
      <c r="L31" s="2"/>
      <c r="M31" s="1336"/>
      <c r="Q31" s="1336"/>
      <c r="T31" s="2"/>
      <c r="U31" s="73"/>
      <c r="X31" s="2"/>
      <c r="Y31" s="73"/>
      <c r="AB31" s="2"/>
      <c r="AC31" s="73"/>
    </row>
    <row r="32" spans="1:29" s="4" customFormat="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x14ac:dyDescent="0.25">
      <c r="A33" s="153"/>
      <c r="B33" s="1326">
        <v>2912</v>
      </c>
      <c r="C33" s="1243" t="s">
        <v>234</v>
      </c>
      <c r="D33" s="2">
        <v>57320</v>
      </c>
      <c r="E33" s="1249"/>
      <c r="F33" s="2"/>
      <c r="G33" s="1527">
        <f t="shared" ref="G33:G39" si="9">IF(D33=0,"0.00%",(H33-D33)/D33)</f>
        <v>4.3440334961618978E-3</v>
      </c>
      <c r="H33" s="2">
        <v>57569</v>
      </c>
      <c r="I33" s="1257"/>
      <c r="J33" s="66"/>
      <c r="K33" s="1527">
        <f t="shared" ref="K33:K39" si="10">IF(H33=0,"0.00%",(L33-H33)/H33)</f>
        <v>1.9993399225277493E-2</v>
      </c>
      <c r="L33" s="2">
        <f>ROUND(H33*(1+M19),0)</f>
        <v>58720</v>
      </c>
      <c r="M33" s="1257" t="str">
        <f>TEXT(M19,"0.0%")&amp;" = Est. S &amp; C"</f>
        <v>2.0% = Est. S &amp; C</v>
      </c>
      <c r="O33" s="1527">
        <f t="shared" ref="O33:O39" si="11">IF(L33=0,"0.00%",(P33-L33)/L33)</f>
        <v>1.9993188010899183E-2</v>
      </c>
      <c r="P33" s="2">
        <f>ROUND(L33*(1+Q19),0)</f>
        <v>59894</v>
      </c>
      <c r="Q33" s="1257" t="str">
        <f>TEXT(Q19,"0.0%")&amp;" = Est. S &amp; C"</f>
        <v>2.0% = Est. S &amp; C</v>
      </c>
      <c r="S33" s="83">
        <f t="shared" ref="S33:S39" si="12">IF(P33=0,"0.00%",(T33-P33)/P33)</f>
        <v>2.0002003539586602E-2</v>
      </c>
      <c r="T33" s="2">
        <f>ROUND(P33*(1+U19),0)</f>
        <v>61092</v>
      </c>
      <c r="U33" s="36" t="str">
        <f>TEXT(U19,"0.0%")&amp;" = Est. S &amp; C"</f>
        <v>2.0% = Est. S &amp; C</v>
      </c>
      <c r="W33" s="83">
        <f t="shared" ref="W33:W39" si="13">IF(T33=0,"0.00%",(X33-T33)/T33)</f>
        <v>2.0002619000851176E-2</v>
      </c>
      <c r="X33" s="2">
        <f>ROUND(T33*(1+Y19),0)</f>
        <v>62314</v>
      </c>
      <c r="Y33" s="36" t="str">
        <f>TEXT(Y19,"0.0%")&amp;" = Est. S &amp; C"</f>
        <v>2.0% = Est. S &amp; C</v>
      </c>
      <c r="AA33" s="83">
        <f t="shared" ref="AA33:AA39" si="14">IF(X33=0,"0.00%",(AB33-X33)/X33)</f>
        <v>1.9995506627724109E-2</v>
      </c>
      <c r="AB33" s="2">
        <f>ROUND(X33*(1+AC19),0)</f>
        <v>63560</v>
      </c>
      <c r="AC33" s="36" t="str">
        <f>TEXT(AC19,"0.0%")&amp;" = Est. S &amp; C"</f>
        <v>2.0% = Est. S &amp; C</v>
      </c>
    </row>
    <row r="34" spans="1:29" x14ac:dyDescent="0.25">
      <c r="A34" s="153"/>
      <c r="B34" s="1326"/>
      <c r="D34" s="2">
        <v>0</v>
      </c>
      <c r="E34" s="1249"/>
      <c r="F34" s="2"/>
      <c r="G34" s="1527" t="str">
        <f t="shared" si="9"/>
        <v>0.00%</v>
      </c>
      <c r="H34" s="491"/>
      <c r="I34" s="1357"/>
      <c r="J34" s="617"/>
      <c r="K34" s="1574" t="str">
        <f t="shared" si="10"/>
        <v>0.00%</v>
      </c>
      <c r="L34" s="491"/>
      <c r="M34" s="1357"/>
      <c r="N34" s="619"/>
      <c r="O34" s="1574" t="str">
        <f t="shared" si="11"/>
        <v>0.00%</v>
      </c>
      <c r="P34" s="491"/>
      <c r="Q34" s="1357"/>
      <c r="S34" s="83" t="str">
        <f t="shared" si="12"/>
        <v>0.00%</v>
      </c>
      <c r="T34" s="2">
        <f>ROUND(P34*(1+U19),0)</f>
        <v>0</v>
      </c>
      <c r="U34" s="36" t="str">
        <f>TEXT(U19,"0.0%")&amp;" = Est. S &amp; C"</f>
        <v>2.0% = Est. S &amp; C</v>
      </c>
      <c r="W34" s="83" t="str">
        <f t="shared" si="13"/>
        <v>0.00%</v>
      </c>
      <c r="X34" s="2">
        <f>ROUND(T34*(1+Y19),0)</f>
        <v>0</v>
      </c>
      <c r="Y34" s="36" t="str">
        <f>TEXT(Y19,"0.0%")&amp;" = Est. S &amp; C"</f>
        <v>2.0% = Est. S &amp; C</v>
      </c>
      <c r="AA34" s="83" t="str">
        <f t="shared" si="14"/>
        <v>0.00%</v>
      </c>
      <c r="AB34" s="2">
        <f>ROUND(X34*(1+AC19),0)</f>
        <v>0</v>
      </c>
      <c r="AC34" s="36" t="str">
        <f>TEXT(AC19,"0.0%")&amp;" = Est. S &amp; C"</f>
        <v>2.0% = Est. S &amp; C</v>
      </c>
    </row>
    <row r="35" spans="1:29" hidden="1" x14ac:dyDescent="0.25">
      <c r="A35" s="153"/>
      <c r="B35" s="1326"/>
      <c r="D35" s="2">
        <v>0</v>
      </c>
      <c r="E35" s="1249"/>
      <c r="F35" s="2"/>
      <c r="G35" s="1527" t="str">
        <f t="shared" si="9"/>
        <v>0.00%</v>
      </c>
      <c r="H35" s="491">
        <f t="shared" ref="H35:H39" si="15">ROUND(D35*(1+$I$19),0)</f>
        <v>0</v>
      </c>
      <c r="I35" s="1357" t="str">
        <f t="shared" ref="I35:I39" si="16">TEXT($I$19,"0.0%")&amp;" = Est. S &amp; C"</f>
        <v>0.0% = Est. S &amp; C</v>
      </c>
      <c r="J35" s="617"/>
      <c r="K35" s="1574" t="str">
        <f t="shared" si="10"/>
        <v>0.00%</v>
      </c>
      <c r="L35" s="491">
        <f>ROUND(H35*(1+M19),0)</f>
        <v>0</v>
      </c>
      <c r="M35" s="1357" t="str">
        <f>TEXT(M19,"0.0%")&amp;" = Est. S &amp; C"</f>
        <v>2.0% = Est. S &amp; C</v>
      </c>
      <c r="N35" s="619"/>
      <c r="O35" s="1574" t="str">
        <f t="shared" si="11"/>
        <v>0.00%</v>
      </c>
      <c r="P35" s="491">
        <f>ROUND(L35*(1+Q19),0)</f>
        <v>0</v>
      </c>
      <c r="Q35" s="1357" t="str">
        <f>TEXT(Q19,"0.0%")&amp;" = Est. S &amp; C"</f>
        <v>2.0%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hidden="1" x14ac:dyDescent="0.25">
      <c r="A36" s="153"/>
      <c r="B36" s="1326"/>
      <c r="D36" s="2">
        <v>0</v>
      </c>
      <c r="E36" s="1249"/>
      <c r="F36" s="2"/>
      <c r="G36" s="1527" t="str">
        <f t="shared" si="9"/>
        <v>0.00%</v>
      </c>
      <c r="H36" s="491">
        <f t="shared" si="15"/>
        <v>0</v>
      </c>
      <c r="I36" s="1357" t="str">
        <f t="shared" si="16"/>
        <v>0.0% = Est. S &amp; C</v>
      </c>
      <c r="J36" s="617"/>
      <c r="K36" s="1574" t="str">
        <f t="shared" si="10"/>
        <v>0.00%</v>
      </c>
      <c r="L36" s="491">
        <f>ROUND(H36*(1+M19),0)</f>
        <v>0</v>
      </c>
      <c r="M36" s="1357" t="str">
        <f>TEXT(M19,"0.0%")&amp;" = Est. S &amp; C"</f>
        <v>2.0% = Est. S &amp; C</v>
      </c>
      <c r="N36" s="619"/>
      <c r="O36" s="1574" t="str">
        <f t="shared" si="11"/>
        <v>0.00%</v>
      </c>
      <c r="P36" s="491">
        <f>ROUND(L36*(1+Q19),0)</f>
        <v>0</v>
      </c>
      <c r="Q36" s="1357" t="str">
        <f>TEXT(Q19,"0.0%")&amp;" = Est. S &amp; C"</f>
        <v>2.0% = Est. S &amp; C</v>
      </c>
      <c r="S36" s="83" t="str">
        <f t="shared" si="12"/>
        <v>0.00%</v>
      </c>
      <c r="T36" s="2">
        <f>ROUND(P36*(1+U19),0)</f>
        <v>0</v>
      </c>
      <c r="U36" s="36" t="str">
        <f>TEXT(U19,"0.0%")&amp;" = Est. S &amp; C"</f>
        <v>2.0% = Est. S &amp; C</v>
      </c>
      <c r="W36" s="83" t="str">
        <f t="shared" si="13"/>
        <v>0.00%</v>
      </c>
      <c r="X36" s="2">
        <f>ROUND(T36*(1+Y19),0)</f>
        <v>0</v>
      </c>
      <c r="Y36" s="36" t="str">
        <f>TEXT(Y19,"0.0%")&amp;" = Est. S &amp; C"</f>
        <v>2.0% = Est. S &amp; C</v>
      </c>
      <c r="AA36" s="83" t="str">
        <f t="shared" si="14"/>
        <v>0.00%</v>
      </c>
      <c r="AB36" s="2">
        <f>ROUND(X36*(1+AC19),0)</f>
        <v>0</v>
      </c>
      <c r="AC36" s="36" t="str">
        <f>TEXT(AC19,"0.0%")&amp;" = Est. S &amp; C"</f>
        <v>2.0% = Est. S &amp; C</v>
      </c>
    </row>
    <row r="37" spans="1:29" hidden="1" x14ac:dyDescent="0.25">
      <c r="A37" s="153"/>
      <c r="B37" s="1326"/>
      <c r="D37" s="2">
        <v>0</v>
      </c>
      <c r="E37" s="1249"/>
      <c r="F37" s="2"/>
      <c r="G37" s="1527" t="str">
        <f t="shared" si="9"/>
        <v>0.00%</v>
      </c>
      <c r="H37" s="491">
        <f t="shared" si="15"/>
        <v>0</v>
      </c>
      <c r="I37" s="1357" t="str">
        <f t="shared" si="16"/>
        <v>0.0% = Est. S &amp; C</v>
      </c>
      <c r="J37" s="617"/>
      <c r="K37" s="1574" t="str">
        <f t="shared" si="10"/>
        <v>0.00%</v>
      </c>
      <c r="L37" s="491">
        <f>ROUND(H37*(1+M19),0)</f>
        <v>0</v>
      </c>
      <c r="M37" s="1357" t="str">
        <f>TEXT(M19,"0.0%")&amp;" = Est. S &amp; C"</f>
        <v>2.0% = Est. S &amp; C</v>
      </c>
      <c r="N37" s="619"/>
      <c r="O37" s="1574" t="str">
        <f t="shared" si="11"/>
        <v>0.00%</v>
      </c>
      <c r="P37" s="491">
        <f>ROUND(L37*(1+Q19),0)</f>
        <v>0</v>
      </c>
      <c r="Q37" s="1357" t="str">
        <f>TEXT(Q19,"0.0%")&amp;" = Est. S &amp; C"</f>
        <v>2.0% = Est. S &amp; C</v>
      </c>
      <c r="S37" s="83" t="str">
        <f t="shared" si="12"/>
        <v>0.00%</v>
      </c>
      <c r="T37" s="2">
        <f>ROUND(P37*(1+U19),0)</f>
        <v>0</v>
      </c>
      <c r="U37" s="36" t="str">
        <f>TEXT(U19,"0.0%")&amp;" = Est. S &amp; C"</f>
        <v>2.0% = Est. S &amp; C</v>
      </c>
      <c r="W37" s="83" t="str">
        <f t="shared" si="13"/>
        <v>0.00%</v>
      </c>
      <c r="X37" s="2">
        <f>ROUND(T37*(1+Y19),0)</f>
        <v>0</v>
      </c>
      <c r="Y37" s="36" t="str">
        <f>TEXT(Y19,"0.0%")&amp;" = Est. S &amp; C"</f>
        <v>2.0% = Est. S &amp; C</v>
      </c>
      <c r="AA37" s="83" t="str">
        <f t="shared" si="14"/>
        <v>0.00%</v>
      </c>
      <c r="AB37" s="2">
        <f>ROUND(X37*(1+AC19),0)</f>
        <v>0</v>
      </c>
      <c r="AC37" s="36" t="str">
        <f>TEXT(AC19,"0.0%")&amp;" = Est. S &amp; C"</f>
        <v>2.0% = Est. S &amp; C</v>
      </c>
    </row>
    <row r="38" spans="1:29" hidden="1" x14ac:dyDescent="0.25">
      <c r="A38" s="153"/>
      <c r="B38" s="1326"/>
      <c r="D38" s="2">
        <v>0</v>
      </c>
      <c r="E38" s="1249"/>
      <c r="F38" s="2"/>
      <c r="G38" s="1527" t="str">
        <f t="shared" si="9"/>
        <v>0.00%</v>
      </c>
      <c r="H38" s="491">
        <f t="shared" si="15"/>
        <v>0</v>
      </c>
      <c r="I38" s="1357" t="str">
        <f t="shared" si="16"/>
        <v>0.0% = Est. S &amp; C</v>
      </c>
      <c r="J38" s="617"/>
      <c r="K38" s="1574" t="str">
        <f t="shared" si="10"/>
        <v>0.00%</v>
      </c>
      <c r="L38" s="491">
        <f>ROUND(H38*(1+M19),0)</f>
        <v>0</v>
      </c>
      <c r="M38" s="1357" t="str">
        <f>TEXT(M19,"0.0%")&amp;" = Est. S &amp; C"</f>
        <v>2.0% = Est. S &amp; C</v>
      </c>
      <c r="N38" s="619"/>
      <c r="O38" s="1574" t="str">
        <f t="shared" si="11"/>
        <v>0.00%</v>
      </c>
      <c r="P38" s="491">
        <f>ROUND(L38*(1+Q19),0)</f>
        <v>0</v>
      </c>
      <c r="Q38" s="1357" t="str">
        <f>TEXT(Q19,"0.0%")&amp;" = Est. S &amp; C"</f>
        <v>2.0%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idden="1" x14ac:dyDescent="0.25">
      <c r="A39" s="153"/>
      <c r="B39" s="1326"/>
      <c r="D39" s="2">
        <v>0</v>
      </c>
      <c r="E39" s="1249"/>
      <c r="F39" s="2"/>
      <c r="G39" s="1527" t="str">
        <f t="shared" si="9"/>
        <v>0.00%</v>
      </c>
      <c r="H39" s="491">
        <f t="shared" si="15"/>
        <v>0</v>
      </c>
      <c r="I39" s="1357" t="str">
        <f t="shared" si="16"/>
        <v>0.0% = Est. S &amp; C</v>
      </c>
      <c r="J39" s="617"/>
      <c r="K39" s="1574" t="str">
        <f t="shared" si="10"/>
        <v>0.00%</v>
      </c>
      <c r="L39" s="491">
        <f>ROUND(H39*(1+M19),0)</f>
        <v>0</v>
      </c>
      <c r="M39" s="1357" t="str">
        <f>TEXT(M19,"0.0%")&amp;" = Est. S &amp; C"</f>
        <v>2.0% = Est. S &amp; C</v>
      </c>
      <c r="N39" s="619"/>
      <c r="O39" s="1574" t="str">
        <f t="shared" si="11"/>
        <v>0.00%</v>
      </c>
      <c r="P39" s="491">
        <f>ROUND(L39*(1+Q19),0)</f>
        <v>0</v>
      </c>
      <c r="Q39" s="1357" t="str">
        <f>TEXT(Q19,"0.0%")&amp;" = Est. S &amp; C"</f>
        <v>2.0% = Est. S &amp; C</v>
      </c>
      <c r="S39" s="83" t="str">
        <f t="shared" si="12"/>
        <v>0.00%</v>
      </c>
      <c r="T39" s="2">
        <f>ROUND(P39*(1+U19),0)</f>
        <v>0</v>
      </c>
      <c r="U39" s="36" t="str">
        <f>TEXT(U19,"0.0%")&amp;" = Est. S &amp; C"</f>
        <v>2.0% = Est. S &amp; C</v>
      </c>
      <c r="W39" s="83" t="str">
        <f t="shared" si="13"/>
        <v>0.00%</v>
      </c>
      <c r="X39" s="2">
        <f>ROUND(T39*(1+Y19),0)</f>
        <v>0</v>
      </c>
      <c r="Y39" s="36" t="str">
        <f>TEXT(Y19,"0.0%")&amp;" = Est. S &amp; C"</f>
        <v>2.0% = Est. S &amp; C</v>
      </c>
      <c r="AA39" s="83" t="str">
        <f t="shared" si="14"/>
        <v>0.00%</v>
      </c>
      <c r="AB39" s="2">
        <f>ROUND(X39*(1+AC19),0)</f>
        <v>0</v>
      </c>
      <c r="AC39" s="36" t="str">
        <f>TEXT(AC19,"0.0%")&amp;" = Est. S &amp; C"</f>
        <v>2.0% = Est. S &amp; C</v>
      </c>
    </row>
    <row r="40" spans="1:29" ht="6" hidden="1" customHeight="1" x14ac:dyDescent="0.25">
      <c r="A40" s="153"/>
      <c r="B40" s="1326"/>
      <c r="E40" s="1249"/>
      <c r="F40" s="2"/>
      <c r="H40" s="491"/>
      <c r="I40" s="1357"/>
      <c r="J40" s="617"/>
      <c r="K40" s="1575"/>
      <c r="L40" s="491"/>
      <c r="M40" s="1361"/>
      <c r="N40" s="619"/>
      <c r="O40" s="1575"/>
      <c r="P40" s="491"/>
      <c r="Q40" s="1361"/>
      <c r="T40" s="2"/>
      <c r="U40" s="73"/>
      <c r="X40" s="2"/>
      <c r="Y40" s="73"/>
      <c r="AB40" s="2"/>
      <c r="AC40" s="73"/>
    </row>
    <row r="41" spans="1:29" x14ac:dyDescent="0.25">
      <c r="A41" s="154"/>
      <c r="B41" s="1326"/>
      <c r="D41" s="8">
        <f>SUM(D33:D40)</f>
        <v>57320</v>
      </c>
      <c r="E41" s="1249"/>
      <c r="F41" s="2"/>
      <c r="G41" s="1527">
        <f>IF(D41=0,"0.00%",(H41-D41)/D41)</f>
        <v>4.3440334961618978E-3</v>
      </c>
      <c r="H41" s="620">
        <f>SUM(H33:H40)</f>
        <v>57569</v>
      </c>
      <c r="I41" s="1882">
        <f>+H41-D41</f>
        <v>249</v>
      </c>
      <c r="J41" s="621"/>
      <c r="K41" s="1574">
        <f>IF(H41=0,"0.00%",(L41-H41)/H41)</f>
        <v>1.9993399225277493E-2</v>
      </c>
      <c r="L41" s="620">
        <f>SUM(L33:L40)</f>
        <v>58720</v>
      </c>
      <c r="M41" s="1882">
        <f>+L41-H41</f>
        <v>1151</v>
      </c>
      <c r="N41" s="619"/>
      <c r="O41" s="1574">
        <f>IF(L41=0,"0.00%",(P41-L41)/L41)</f>
        <v>1.9993188010899183E-2</v>
      </c>
      <c r="P41" s="620">
        <f>SUM(P33:P40)</f>
        <v>59894</v>
      </c>
      <c r="Q41" s="1882">
        <f>+P41-L41</f>
        <v>1174</v>
      </c>
      <c r="S41" s="83">
        <f>IF(P41=0,"0.00%",(T41-P41)/P41)</f>
        <v>2.0002003539586602E-2</v>
      </c>
      <c r="T41" s="8">
        <f>SUM(T33:T40)</f>
        <v>61092</v>
      </c>
      <c r="U41" s="73"/>
      <c r="W41" s="83">
        <f>IF(T41=0,"0.00%",(X41-T41)/T41)</f>
        <v>2.0002619000851176E-2</v>
      </c>
      <c r="X41" s="8">
        <f>SUM(X33:X40)</f>
        <v>62314</v>
      </c>
      <c r="Y41" s="73"/>
      <c r="AA41" s="83">
        <f>IF(X41=0,"0.00%",(AB41-X41)/X41)</f>
        <v>1.9995506627724109E-2</v>
      </c>
      <c r="AB41" s="8">
        <f>SUM(AB33:AB40)</f>
        <v>63560</v>
      </c>
      <c r="AC41" s="73"/>
    </row>
    <row r="42" spans="1:29" x14ac:dyDescent="0.25">
      <c r="A42" s="153"/>
      <c r="B42" s="1317" t="s">
        <v>28</v>
      </c>
      <c r="E42" s="1249"/>
      <c r="F42" s="2"/>
      <c r="H42" s="491"/>
      <c r="I42" s="1357"/>
      <c r="J42" s="617"/>
      <c r="K42" s="1575"/>
      <c r="L42" s="491"/>
      <c r="M42" s="1361"/>
      <c r="N42" s="619"/>
      <c r="O42" s="1575"/>
      <c r="P42" s="491"/>
      <c r="Q42" s="1361"/>
      <c r="T42" s="2"/>
      <c r="U42" s="73"/>
      <c r="X42" s="2"/>
      <c r="Y42" s="73"/>
      <c r="AB42" s="2"/>
      <c r="AC42" s="73"/>
    </row>
    <row r="43" spans="1:29" x14ac:dyDescent="0.25">
      <c r="A43" s="155"/>
      <c r="B43" s="1323" t="s">
        <v>27</v>
      </c>
      <c r="E43" s="1249"/>
      <c r="F43" s="2"/>
      <c r="H43" s="491"/>
      <c r="I43" s="1357"/>
      <c r="J43" s="617"/>
      <c r="K43" s="1575"/>
      <c r="L43" s="491"/>
      <c r="M43" s="1361"/>
      <c r="N43" s="619"/>
      <c r="O43" s="1575"/>
      <c r="P43" s="491"/>
      <c r="Q43" s="1361"/>
      <c r="T43" s="2"/>
      <c r="U43" s="73"/>
      <c r="X43" s="2"/>
      <c r="Y43" s="73"/>
      <c r="AB43" s="2"/>
      <c r="AC43" s="73"/>
    </row>
    <row r="44" spans="1:29" x14ac:dyDescent="0.25">
      <c r="A44" s="153"/>
      <c r="B44" s="1326" t="s">
        <v>83</v>
      </c>
      <c r="C44" s="1243" t="s">
        <v>76</v>
      </c>
      <c r="D44" s="2">
        <v>1124</v>
      </c>
      <c r="E44" s="1240" t="str">
        <f>TEXT('MYP Assumptions'!$D$52,"0.00%")&amp;", STRS rate"</f>
        <v>12.58%, STRS rate</v>
      </c>
      <c r="F44" s="2"/>
      <c r="G44" s="1527">
        <f t="shared" ref="G44:G53" si="17">IF(D44=0,"0.00%",(H44-D44)/D44)</f>
        <v>-1</v>
      </c>
      <c r="H44" s="491">
        <f>ROUND(H30*LEFT(I44,6),0)</f>
        <v>0</v>
      </c>
      <c r="I44" s="1359" t="str">
        <f>TEXT('MYP Assumptions'!E52,"0.00%")&amp;", projected STRS rate"</f>
        <v>14.43%, projected STRS rate</v>
      </c>
      <c r="J44" s="617"/>
      <c r="K44" s="1574" t="str">
        <f t="shared" ref="K44:K53" si="18">IF(H44=0,"0.00%",(L44-H44)/H44)</f>
        <v>0.00%</v>
      </c>
      <c r="L44" s="491">
        <f>ROUND(L30*LEFT(M44,6),0)</f>
        <v>0</v>
      </c>
      <c r="M44" s="1359" t="str">
        <f>TEXT('MYP Assumptions'!F52,"0.00%")&amp;", projected STRS rate"</f>
        <v>16.28%, projected STRS rate</v>
      </c>
      <c r="N44" s="619"/>
      <c r="O44" s="1574" t="str">
        <f t="shared" ref="O44:O53" si="19">IF(L44=0,"0.00%",(P44-L44)/L44)</f>
        <v>0.00%</v>
      </c>
      <c r="P44" s="491">
        <f>ROUND(P30*LEFT(Q44,6),0)</f>
        <v>0</v>
      </c>
      <c r="Q44" s="1359"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x14ac:dyDescent="0.25">
      <c r="A45" s="153"/>
      <c r="B45" s="1326" t="s">
        <v>84</v>
      </c>
      <c r="C45" s="1243" t="s">
        <v>77</v>
      </c>
      <c r="D45" s="2">
        <v>7960</v>
      </c>
      <c r="E45" s="1240" t="str">
        <f>TEXT('MYP Assumptions'!$D$53,"0.00%")&amp;", PERS rate"</f>
        <v>13.89%, PERS rate</v>
      </c>
      <c r="F45" s="2"/>
      <c r="G45" s="1527">
        <f t="shared" si="17"/>
        <v>0.12324120603015075</v>
      </c>
      <c r="H45" s="491">
        <v>8941</v>
      </c>
      <c r="I45" s="1359" t="str">
        <f>TEXT('MYP Assumptions'!E53,"0.000%")&amp;", projected PERS rate"</f>
        <v>15.531%, projected PERS rate</v>
      </c>
      <c r="J45" s="617"/>
      <c r="K45" s="1574">
        <f t="shared" si="18"/>
        <v>0.18868135555307011</v>
      </c>
      <c r="L45" s="491">
        <f>ROUND(L41*LEFT(M45,6),0)</f>
        <v>10628</v>
      </c>
      <c r="M45" s="1359" t="str">
        <f>TEXT('MYP Assumptions'!F53,"0.00%")&amp;", projected PERS rate"</f>
        <v>18.10%, projected PERS rate</v>
      </c>
      <c r="N45" s="619"/>
      <c r="O45" s="1574">
        <f t="shared" si="19"/>
        <v>0.17218667670304855</v>
      </c>
      <c r="P45" s="491">
        <f>ROUND(P41*LEFT(Q45,6),0)</f>
        <v>12458</v>
      </c>
      <c r="Q45" s="1359" t="str">
        <f>TEXT('MYP Assumptions'!G53,"0.00%")&amp;", projected PERS rate"</f>
        <v>20.80%, projected PERS rate</v>
      </c>
      <c r="S45" s="83">
        <f t="shared" si="20"/>
        <v>0.1671215283352063</v>
      </c>
      <c r="T45" s="2">
        <f>ROUND(T41*LEFT(U45,6),0)</f>
        <v>14540</v>
      </c>
      <c r="U45" s="81" t="str">
        <f>TEXT('MYP Assumptions'!H53,"0.00%")&amp;", projected PERS rate"</f>
        <v>23.80%, projected PERS rate</v>
      </c>
      <c r="W45" s="83">
        <f t="shared" si="21"/>
        <v>7.9986244841815685E-2</v>
      </c>
      <c r="X45" s="2">
        <f>ROUND(X41*LEFT(Y45,6),0)</f>
        <v>15703</v>
      </c>
      <c r="Y45" s="81" t="str">
        <f>TEXT('MYP Assumptions'!I53,"0.00%")&amp;", projected PERS rate"</f>
        <v>25.20%, projected PERS rate</v>
      </c>
      <c r="AA45" s="83">
        <f t="shared" si="22"/>
        <v>5.6422339680315861E-2</v>
      </c>
      <c r="AB45" s="2">
        <f>ROUND(AB41*LEFT(AC45,6),0)</f>
        <v>16589</v>
      </c>
      <c r="AC45" s="81" t="str">
        <f>TEXT('MYP Assumptions'!J53,"0.00%")&amp;", projected PERS rate"</f>
        <v>26.10%, projected PERS rate</v>
      </c>
    </row>
    <row r="46" spans="1:29" x14ac:dyDescent="0.25">
      <c r="A46" s="153"/>
      <c r="B46" s="1326" t="s">
        <v>85</v>
      </c>
      <c r="C46" s="1243" t="s">
        <v>78</v>
      </c>
      <c r="D46" s="2">
        <v>3271</v>
      </c>
      <c r="E46" s="1240" t="str">
        <f>TEXT('MYP Assumptions'!$D$54,"0.00%")&amp;", SS rate"</f>
        <v>6.20%, SS rate</v>
      </c>
      <c r="F46" s="2"/>
      <c r="G46" s="1527">
        <f t="shared" si="17"/>
        <v>9.1103638031183126E-2</v>
      </c>
      <c r="H46" s="491">
        <v>3569</v>
      </c>
      <c r="I46" s="1359" t="str">
        <f>TEXT('MYP Assumptions'!E54,"0.00%")&amp;", no rate change"</f>
        <v>6.20%, no rate change</v>
      </c>
      <c r="J46" s="617"/>
      <c r="K46" s="1574">
        <f t="shared" si="18"/>
        <v>2.0173718128327262E-2</v>
      </c>
      <c r="L46" s="491">
        <f>ROUND(L41*LEFT(M46,5),0)</f>
        <v>3641</v>
      </c>
      <c r="M46" s="1359" t="str">
        <f>TEXT('MYP Assumptions'!F54,"0.00%")&amp;", no rate change"</f>
        <v>6.20%, no rate change</v>
      </c>
      <c r="N46" s="619"/>
      <c r="O46" s="1574">
        <f t="shared" si="19"/>
        <v>1.9774787146388355E-2</v>
      </c>
      <c r="P46" s="491">
        <f>ROUND(P41*LEFT(Q46,5),0)</f>
        <v>3713</v>
      </c>
      <c r="Q46" s="1359" t="str">
        <f>TEXT('MYP Assumptions'!G54,"0.00%")&amp;", no rate change"</f>
        <v>6.20%, no rate change</v>
      </c>
      <c r="S46" s="83">
        <f t="shared" si="20"/>
        <v>2.0199299757608404E-2</v>
      </c>
      <c r="T46" s="2">
        <f>ROUND(T41*LEFT(U46,5),0)</f>
        <v>3788</v>
      </c>
      <c r="U46" s="81" t="str">
        <f>TEXT('MYP Assumptions'!H54,"0.00%")&amp;", no rate change"</f>
        <v>6.20%, no rate change</v>
      </c>
      <c r="W46" s="83">
        <f t="shared" si="21"/>
        <v>1.979936642027455E-2</v>
      </c>
      <c r="X46" s="2">
        <f>ROUND(X41*LEFT(Y46,5),0)</f>
        <v>3863</v>
      </c>
      <c r="Y46" s="81" t="str">
        <f>TEXT('MYP Assumptions'!I54,"0.00%")&amp;", no rate change"</f>
        <v>6.20%, no rate change</v>
      </c>
      <c r="AA46" s="83">
        <f t="shared" si="22"/>
        <v>2.0191560962982139E-2</v>
      </c>
      <c r="AB46" s="2">
        <f>ROUND(AB41*LEFT(AC46,5),0)</f>
        <v>3941</v>
      </c>
      <c r="AC46" s="81" t="str">
        <f>TEXT('MYP Assumptions'!J54,"0.00%")&amp;", no rate change"</f>
        <v>6.20%, no rate change</v>
      </c>
    </row>
    <row r="47" spans="1:29" x14ac:dyDescent="0.25">
      <c r="A47" s="153"/>
      <c r="B47" s="1326" t="s">
        <v>86</v>
      </c>
      <c r="C47" s="1243" t="s">
        <v>79</v>
      </c>
      <c r="D47" s="2">
        <f>130+765</f>
        <v>895</v>
      </c>
      <c r="E47" s="1240" t="str">
        <f>TEXT('MYP Assumptions'!$D$55,"0.00%")&amp;", Medicare rate"</f>
        <v>1.45%, Medicare rate</v>
      </c>
      <c r="F47" s="2"/>
      <c r="G47" s="1527">
        <f t="shared" si="17"/>
        <v>-6.7039106145251395E-2</v>
      </c>
      <c r="H47" s="491">
        <v>835</v>
      </c>
      <c r="I47" s="1359" t="str">
        <f>TEXT('MYP Assumptions'!E55,"0.00%")&amp;", no rate change"</f>
        <v>1.45%, no rate change</v>
      </c>
      <c r="J47" s="617"/>
      <c r="K47" s="1574">
        <f t="shared" si="18"/>
        <v>1.9161676646706587E-2</v>
      </c>
      <c r="L47" s="491">
        <f>ROUND((L41+L30)*LEFT(M47,5),0)</f>
        <v>851</v>
      </c>
      <c r="M47" s="1359" t="str">
        <f>TEXT('MYP Assumptions'!F55,"0.00%")&amp;", no rate change"</f>
        <v>1.45%, no rate change</v>
      </c>
      <c r="N47" s="619"/>
      <c r="O47" s="1574">
        <f t="shared" si="19"/>
        <v>1.9976498237367801E-2</v>
      </c>
      <c r="P47" s="491">
        <f>ROUND((P41+P30)*LEFT(Q47,5),0)</f>
        <v>868</v>
      </c>
      <c r="Q47" s="1359" t="str">
        <f>TEXT('MYP Assumptions'!G55,"0.00%")&amp;", no rate change"</f>
        <v>1.45%, no rate change</v>
      </c>
      <c r="S47" s="83">
        <f t="shared" si="20"/>
        <v>2.0737327188940093E-2</v>
      </c>
      <c r="T47" s="2">
        <f>ROUND((T41+T30)*LEFT(U47,5),0)</f>
        <v>886</v>
      </c>
      <c r="U47" s="81" t="str">
        <f>TEXT('MYP Assumptions'!H55,"0.00%")&amp;", no rate change"</f>
        <v>1.45%, no rate change</v>
      </c>
      <c r="W47" s="83">
        <f t="shared" si="21"/>
        <v>2.0316027088036117E-2</v>
      </c>
      <c r="X47" s="2">
        <f>ROUND((X41+X30)*LEFT(Y47,5),0)</f>
        <v>904</v>
      </c>
      <c r="Y47" s="81" t="str">
        <f>TEXT('MYP Assumptions'!I55,"0.00%")&amp;", no rate change"</f>
        <v>1.45%, no rate change</v>
      </c>
      <c r="AA47" s="83">
        <f t="shared" si="22"/>
        <v>1.9911504424778761E-2</v>
      </c>
      <c r="AB47" s="2">
        <f>ROUND((AB41+AB30)*LEFT(AC47,5),0)</f>
        <v>922</v>
      </c>
      <c r="AC47" s="81" t="str">
        <f>TEXT('MYP Assumptions'!J55,"0.00%")&amp;", no rate change"</f>
        <v>1.45%, no rate change</v>
      </c>
    </row>
    <row r="48" spans="1:29" x14ac:dyDescent="0.25">
      <c r="A48" s="153"/>
      <c r="B48" s="1326" t="s">
        <v>87</v>
      </c>
      <c r="C48" s="1243" t="s">
        <v>80</v>
      </c>
      <c r="D48" s="2">
        <v>7666</v>
      </c>
      <c r="E48" s="1240"/>
      <c r="F48" s="2"/>
      <c r="G48" s="1527">
        <f t="shared" si="17"/>
        <v>4.617792851552309E-2</v>
      </c>
      <c r="H48" s="491">
        <v>8020</v>
      </c>
      <c r="I48" s="1359" t="str">
        <f>TEXT('MYP Assumptions'!$M$62,"0.00%")&amp;", projected increase"</f>
        <v>7.00%, projected increase</v>
      </c>
      <c r="J48" s="617"/>
      <c r="K48" s="1574">
        <f t="shared" si="18"/>
        <v>6.9950124688279297E-2</v>
      </c>
      <c r="L48" s="491">
        <f>ROUND((H48)*(LEFT(M48,5)+1),0)</f>
        <v>8581</v>
      </c>
      <c r="M48" s="1359" t="str">
        <f>TEXT('MYP Assumptions'!$M$62,"0.00%")&amp;", projected increase"</f>
        <v>7.00%, projected increase</v>
      </c>
      <c r="N48" s="619"/>
      <c r="O48" s="1574">
        <f t="shared" si="19"/>
        <v>7.003845705628714E-2</v>
      </c>
      <c r="P48" s="491">
        <f>ROUND((L48)*(LEFT(Q48,5)+1),0)</f>
        <v>9182</v>
      </c>
      <c r="Q48" s="1359" t="str">
        <f>TEXT('MYP Assumptions'!$M$62,"0.00%")&amp;", projected increase"</f>
        <v>7.00%, projected increase</v>
      </c>
      <c r="S48" s="83">
        <f t="shared" si="20"/>
        <v>7.0028316270964938E-2</v>
      </c>
      <c r="T48" s="2">
        <f>ROUND((P48)*(LEFT(U48,5)+1),0)</f>
        <v>9825</v>
      </c>
      <c r="U48" s="81" t="str">
        <f>TEXT('MYP Assumptions'!$M$62,"0.00%")&amp;", projected increase"</f>
        <v>7.00%, projected increase</v>
      </c>
      <c r="W48" s="83">
        <f t="shared" si="21"/>
        <v>7.0025445292620864E-2</v>
      </c>
      <c r="X48" s="2">
        <f>ROUND((T48)*(LEFT(Y48,5)+1),0)</f>
        <v>10513</v>
      </c>
      <c r="Y48" s="81" t="str">
        <f>TEXT('MYP Assumptions'!$M$62,"0.00%")&amp;", projected increase"</f>
        <v>7.00%, projected increase</v>
      </c>
      <c r="AA48" s="83">
        <f t="shared" si="22"/>
        <v>7.0008560829449257E-2</v>
      </c>
      <c r="AB48" s="2">
        <f>ROUND((X48)*(LEFT(AC48,5)+1),0)</f>
        <v>11249</v>
      </c>
      <c r="AC48" s="81" t="str">
        <f>TEXT('MYP Assumptions'!$M$62,"0.00%")&amp;", projected increase"</f>
        <v>7.00%, projected increase</v>
      </c>
    </row>
    <row r="49" spans="1:29" x14ac:dyDescent="0.25">
      <c r="A49" s="153"/>
      <c r="B49" s="1326" t="s">
        <v>88</v>
      </c>
      <c r="C49" s="1243" t="s">
        <v>81</v>
      </c>
      <c r="D49" s="2">
        <f>4+27</f>
        <v>31</v>
      </c>
      <c r="E49" s="1240" t="str">
        <f>TEXT('MYP Assumptions'!$D$56,"0.00%")&amp;", SUI rate"</f>
        <v>0.05%, SUI rate</v>
      </c>
      <c r="F49" s="2"/>
      <c r="G49" s="1527">
        <f t="shared" si="17"/>
        <v>-6.4516129032258063E-2</v>
      </c>
      <c r="H49" s="491">
        <v>29</v>
      </c>
      <c r="I49" s="1359" t="str">
        <f>TEXT('MYP Assumptions'!E56,"0.00%")&amp;", no rate change"</f>
        <v>0.05%, no rate change</v>
      </c>
      <c r="J49" s="617"/>
      <c r="K49" s="1574">
        <f t="shared" si="18"/>
        <v>0</v>
      </c>
      <c r="L49" s="491">
        <f>ROUND((L41+L30)*LEFT(M49,5),0)</f>
        <v>29</v>
      </c>
      <c r="M49" s="1359" t="str">
        <f>TEXT('MYP Assumptions'!F56,"0.00%")&amp;", no rate change"</f>
        <v>0.05%, no rate change</v>
      </c>
      <c r="N49" s="619"/>
      <c r="O49" s="1574">
        <f t="shared" si="19"/>
        <v>3.4482758620689655E-2</v>
      </c>
      <c r="P49" s="491">
        <f>ROUND((P41+P30)*LEFT(Q49,5),0)</f>
        <v>30</v>
      </c>
      <c r="Q49" s="1359" t="str">
        <f>TEXT('MYP Assumptions'!G56,"0.00%")&amp;", no rate change"</f>
        <v>0.05%, no rate change</v>
      </c>
      <c r="S49" s="83">
        <f t="shared" si="20"/>
        <v>3.3333333333333333E-2</v>
      </c>
      <c r="T49" s="2">
        <f>ROUND((T41+T30)*LEFT(U49,5),0)</f>
        <v>31</v>
      </c>
      <c r="U49" s="81" t="str">
        <f>TEXT('MYP Assumptions'!H56,"0.00%")&amp;", no rate change"</f>
        <v>0.05%, no rate change</v>
      </c>
      <c r="W49" s="83">
        <f t="shared" si="21"/>
        <v>0</v>
      </c>
      <c r="X49" s="2">
        <f>ROUND((X41+X30)*LEFT(Y49,5),0)</f>
        <v>31</v>
      </c>
      <c r="Y49" s="81" t="str">
        <f>TEXT('MYP Assumptions'!I56,"0.00%")&amp;", no rate change"</f>
        <v>0.05%, no rate change</v>
      </c>
      <c r="AA49" s="83">
        <f t="shared" si="22"/>
        <v>3.2258064516129031E-2</v>
      </c>
      <c r="AB49" s="2">
        <f>ROUND((AB41+AB30)*LEFT(AC49,5),0)</f>
        <v>32</v>
      </c>
      <c r="AC49" s="81" t="str">
        <f>TEXT('MYP Assumptions'!J56,"0.00%")&amp;", no rate change"</f>
        <v>0.05%, no rate change</v>
      </c>
    </row>
    <row r="50" spans="1:29" x14ac:dyDescent="0.25">
      <c r="A50" s="153"/>
      <c r="B50" s="1326" t="s">
        <v>89</v>
      </c>
      <c r="C50" s="1243" t="s">
        <v>82</v>
      </c>
      <c r="D50" s="2">
        <f>98+589</f>
        <v>687</v>
      </c>
      <c r="E50" s="1240" t="str">
        <f>TEXT('MYP Assumptions'!$D$57,"0.00%")&amp;", W/C rate"</f>
        <v>1.10%, W/C rate</v>
      </c>
      <c r="F50" s="2"/>
      <c r="G50" s="1527">
        <f t="shared" si="17"/>
        <v>-7.7147016011644837E-2</v>
      </c>
      <c r="H50" s="491">
        <v>634</v>
      </c>
      <c r="I50" s="1359" t="str">
        <f>TEXT('MYP Assumptions'!E57,"0.00%")&amp;", no rate change"</f>
        <v>1.10%, no rate change</v>
      </c>
      <c r="J50" s="617"/>
      <c r="K50" s="1574">
        <f t="shared" si="18"/>
        <v>1.8927444794952682E-2</v>
      </c>
      <c r="L50" s="491">
        <f>ROUND((L41+L30)*LEFT(M50,5),0)</f>
        <v>646</v>
      </c>
      <c r="M50" s="1359" t="str">
        <f>TEXT('MYP Assumptions'!F57,"0.00%")&amp;", no rate change"</f>
        <v>1.10%, no rate change</v>
      </c>
      <c r="N50" s="619"/>
      <c r="O50" s="1574">
        <f t="shared" si="19"/>
        <v>2.0123839009287926E-2</v>
      </c>
      <c r="P50" s="491">
        <f>ROUND((P41+P30)*LEFT(Q50,5),0)</f>
        <v>659</v>
      </c>
      <c r="Q50" s="1359" t="str">
        <f>TEXT('MYP Assumptions'!G57,"0.00%")&amp;", no rate change"</f>
        <v>1.10%, no rate change</v>
      </c>
      <c r="S50" s="83">
        <f t="shared" si="20"/>
        <v>1.9726858877086494E-2</v>
      </c>
      <c r="T50" s="2">
        <f>ROUND((T41+T30)*LEFT(U50,5),0)</f>
        <v>672</v>
      </c>
      <c r="U50" s="81" t="str">
        <f>TEXT('MYP Assumptions'!H57,"0.00%")&amp;", no rate change"</f>
        <v>1.10%, no rate change</v>
      </c>
      <c r="W50" s="83">
        <f t="shared" si="21"/>
        <v>1.9345238095238096E-2</v>
      </c>
      <c r="X50" s="2">
        <f>ROUND((X41+X30)*LEFT(Y50,5),0)</f>
        <v>685</v>
      </c>
      <c r="Y50" s="81" t="str">
        <f>TEXT('MYP Assumptions'!I57,"0.00%")&amp;", no rate change"</f>
        <v>1.10%, no rate change</v>
      </c>
      <c r="AA50" s="83">
        <f t="shared" si="22"/>
        <v>2.0437956204379562E-2</v>
      </c>
      <c r="AB50" s="2">
        <f>ROUND((AB41+AB30)*LEFT(AC50,5),0)</f>
        <v>699</v>
      </c>
      <c r="AC50" s="81" t="str">
        <f>TEXT('MYP Assumptions'!J57,"0.00%")&amp;", no rate change"</f>
        <v>1.10%, no rate change</v>
      </c>
    </row>
    <row r="51" spans="1:29" x14ac:dyDescent="0.25">
      <c r="A51" s="153"/>
      <c r="B51" s="1326" t="s">
        <v>91</v>
      </c>
      <c r="C51" s="1243" t="s">
        <v>93</v>
      </c>
      <c r="D51" s="2">
        <v>0</v>
      </c>
      <c r="E51" s="1249"/>
      <c r="F51" s="2"/>
      <c r="G51" s="1527" t="str">
        <f t="shared" ref="G51" si="23">IF(D51=0,"0.00%",(H51-D51)/D51)</f>
        <v>0.00%</v>
      </c>
      <c r="H51" s="491">
        <f>D51</f>
        <v>0</v>
      </c>
      <c r="I51" s="1359" t="s">
        <v>166</v>
      </c>
      <c r="J51" s="617"/>
      <c r="K51" s="1574" t="str">
        <f t="shared" ref="K51" si="24">IF(H51=0,"0.00%",(L51-H51)/H51)</f>
        <v>0.00%</v>
      </c>
      <c r="L51" s="491">
        <f>H51</f>
        <v>0</v>
      </c>
      <c r="M51" s="1359" t="s">
        <v>166</v>
      </c>
      <c r="N51" s="619"/>
      <c r="O51" s="1574" t="str">
        <f t="shared" ref="O51" si="25">IF(L51=0,"0.00%",(P51-L51)/L51)</f>
        <v>0.00%</v>
      </c>
      <c r="P51" s="491">
        <f>L51</f>
        <v>0</v>
      </c>
      <c r="Q51" s="1359" t="s">
        <v>166</v>
      </c>
      <c r="S51" s="83" t="str">
        <f t="shared" ref="S51" si="26">IF(P51=0,"0.00%",(T51-P51)/P51)</f>
        <v>0.00%</v>
      </c>
      <c r="T51" s="2">
        <f>P51</f>
        <v>0</v>
      </c>
      <c r="U51" s="81" t="s">
        <v>166</v>
      </c>
      <c r="W51" s="83" t="str">
        <f t="shared" ref="W51" si="27">IF(T51=0,"0.00%",(X51-T51)/T51)</f>
        <v>0.00%</v>
      </c>
      <c r="X51" s="2">
        <f>T51</f>
        <v>0</v>
      </c>
      <c r="Y51" s="81" t="s">
        <v>166</v>
      </c>
      <c r="AA51" s="83" t="str">
        <f t="shared" ref="AA51" si="28">IF(X51=0,"0.00%",(AB51-X51)/X51)</f>
        <v>0.00%</v>
      </c>
      <c r="AB51" s="2">
        <f>X51</f>
        <v>0</v>
      </c>
      <c r="AC51" s="81" t="s">
        <v>166</v>
      </c>
    </row>
    <row r="52" spans="1:29" x14ac:dyDescent="0.25">
      <c r="A52" s="153"/>
      <c r="B52" s="1326"/>
      <c r="E52" s="1249"/>
      <c r="F52" s="2"/>
      <c r="G52" s="1527"/>
      <c r="H52" s="491"/>
      <c r="I52" s="1359"/>
      <c r="J52" s="617"/>
      <c r="K52" s="1574"/>
      <c r="L52" s="491"/>
      <c r="M52" s="1359"/>
      <c r="N52" s="619"/>
      <c r="O52" s="1574"/>
      <c r="P52" s="491"/>
      <c r="Q52" s="1359"/>
      <c r="S52" s="83"/>
      <c r="T52" s="2"/>
      <c r="U52" s="81"/>
      <c r="W52" s="83"/>
      <c r="X52" s="2"/>
      <c r="Y52" s="81"/>
      <c r="AA52" s="83"/>
      <c r="AB52" s="2"/>
      <c r="AC52" s="81"/>
    </row>
    <row r="53" spans="1:29" x14ac:dyDescent="0.25">
      <c r="A53" s="154"/>
      <c r="B53" s="1326"/>
      <c r="D53" s="8">
        <f>SUM(D44:D52)</f>
        <v>21634</v>
      </c>
      <c r="E53" s="1249"/>
      <c r="F53" s="2"/>
      <c r="G53" s="1527">
        <f t="shared" si="17"/>
        <v>1.8212073587870945E-2</v>
      </c>
      <c r="H53" s="620">
        <f>SUM(H44:H52)</f>
        <v>22028</v>
      </c>
      <c r="I53" s="1882">
        <f>+H53-D53</f>
        <v>394</v>
      </c>
      <c r="J53" s="621"/>
      <c r="K53" s="1574">
        <f t="shared" si="18"/>
        <v>0.10659161067731977</v>
      </c>
      <c r="L53" s="620">
        <f>SUM(L44:L52)</f>
        <v>24376</v>
      </c>
      <c r="M53" s="1882">
        <f>+L53-H53</f>
        <v>2348</v>
      </c>
      <c r="N53" s="619"/>
      <c r="O53" s="1574">
        <f t="shared" si="19"/>
        <v>0.10395470955037742</v>
      </c>
      <c r="P53" s="620">
        <f>SUM(P44:P52)</f>
        <v>26910</v>
      </c>
      <c r="Q53" s="1882">
        <f>+P53-L53</f>
        <v>2534</v>
      </c>
      <c r="S53" s="83">
        <f t="shared" si="20"/>
        <v>0.1052396878483835</v>
      </c>
      <c r="T53" s="8">
        <f>SUM(T44:T52)</f>
        <v>29742</v>
      </c>
      <c r="U53" s="73"/>
      <c r="W53" s="83">
        <f t="shared" si="21"/>
        <v>6.5799206509313424E-2</v>
      </c>
      <c r="X53" s="8">
        <f>SUM(X44:X52)</f>
        <v>31699</v>
      </c>
      <c r="Y53" s="73"/>
      <c r="AA53" s="83">
        <f t="shared" si="22"/>
        <v>5.4670494337360799E-2</v>
      </c>
      <c r="AB53" s="8">
        <f>SUM(AB44:AB52)</f>
        <v>33432</v>
      </c>
      <c r="AC53" s="73"/>
    </row>
    <row r="54" spans="1:29" x14ac:dyDescent="0.25">
      <c r="A54" s="155"/>
      <c r="B54" s="1326"/>
      <c r="E54" s="1249"/>
      <c r="F54" s="2"/>
      <c r="H54" s="491"/>
      <c r="I54" s="1357"/>
      <c r="J54" s="617"/>
      <c r="K54" s="1575"/>
      <c r="L54" s="491"/>
      <c r="M54" s="1361"/>
      <c r="N54" s="619"/>
      <c r="O54" s="1575"/>
      <c r="P54" s="491"/>
      <c r="Q54" s="1361"/>
      <c r="T54" s="2"/>
      <c r="U54" s="73"/>
      <c r="X54" s="2"/>
      <c r="Y54" s="73"/>
      <c r="AB54" s="2"/>
      <c r="AC54" s="73"/>
    </row>
    <row r="55" spans="1:29" x14ac:dyDescent="0.25">
      <c r="A55" s="154"/>
      <c r="B55" s="1323" t="s">
        <v>26</v>
      </c>
      <c r="D55" s="8">
        <f>SUM(D53,D41,D30)</f>
        <v>87892</v>
      </c>
      <c r="E55" s="1249"/>
      <c r="F55" s="2"/>
      <c r="G55" s="1527">
        <f>IF(D55=0,"0.00%",(H55-D55)/D55)</f>
        <v>-9.4377190187957954E-2</v>
      </c>
      <c r="H55" s="620">
        <f>SUM(H53,H41,H30)</f>
        <v>79597</v>
      </c>
      <c r="I55" s="1882">
        <f>+H55-D55</f>
        <v>-8295</v>
      </c>
      <c r="J55" s="621"/>
      <c r="K55" s="1574">
        <f>IF(H55=0,"0.00%",(L55-H55)/H55)</f>
        <v>4.3958943176250362E-2</v>
      </c>
      <c r="L55" s="620">
        <f>SUM(L53,L41,L30)</f>
        <v>83096</v>
      </c>
      <c r="M55" s="1882">
        <f>+L55-H55</f>
        <v>3499</v>
      </c>
      <c r="N55" s="619"/>
      <c r="O55" s="1574">
        <f>IF(L55=0,"0.00%",(P55-L55)/L55)</f>
        <v>4.4623086550495815E-2</v>
      </c>
      <c r="P55" s="620">
        <f>SUM(P53,P41,P30)</f>
        <v>86804</v>
      </c>
      <c r="Q55" s="1882">
        <f>+P55-L55</f>
        <v>3708</v>
      </c>
      <c r="S55" s="83">
        <f>IF(P55=0,"0.00%",(T55-P55)/P55)</f>
        <v>4.6426431961660755E-2</v>
      </c>
      <c r="T55" s="8">
        <f>SUM(T53,T41,T30)</f>
        <v>90834</v>
      </c>
      <c r="U55" s="73"/>
      <c r="W55" s="83">
        <f>IF(T55=0,"0.00%",(X55-T55)/T55)</f>
        <v>3.4997908272232862E-2</v>
      </c>
      <c r="X55" s="8">
        <f>SUM(X53,X41,X30)</f>
        <v>94013</v>
      </c>
      <c r="Y55" s="73"/>
      <c r="AA55" s="83">
        <f>IF(X55=0,"0.00%",(AB55-X55)/X55)</f>
        <v>3.1687107102209268E-2</v>
      </c>
      <c r="AB55" s="8">
        <f>SUM(AB53,AB41,AB30)</f>
        <v>96992</v>
      </c>
      <c r="AC55" s="73"/>
    </row>
    <row r="56" spans="1:29" x14ac:dyDescent="0.25">
      <c r="A56" s="156"/>
      <c r="E56" s="1249"/>
      <c r="F56" s="2"/>
      <c r="H56" s="491"/>
      <c r="I56" s="1357"/>
      <c r="J56" s="617"/>
      <c r="K56" s="1575"/>
      <c r="L56" s="491"/>
      <c r="M56" s="1361"/>
      <c r="N56" s="619"/>
      <c r="O56" s="1575"/>
      <c r="P56" s="491"/>
      <c r="Q56" s="1361"/>
      <c r="T56" s="2"/>
      <c r="U56" s="73"/>
      <c r="X56" s="2"/>
      <c r="Y56" s="73"/>
      <c r="AB56" s="2"/>
      <c r="AC56" s="73"/>
    </row>
    <row r="57" spans="1:29" hidden="1" x14ac:dyDescent="0.25">
      <c r="A57" s="153"/>
      <c r="E57" s="1249"/>
      <c r="F57" s="2"/>
      <c r="H57" s="491"/>
      <c r="I57" s="1357"/>
      <c r="J57" s="617"/>
      <c r="K57" s="1575"/>
      <c r="L57" s="491"/>
      <c r="M57" s="1361"/>
      <c r="N57" s="619"/>
      <c r="O57" s="1575"/>
      <c r="P57" s="491"/>
      <c r="Q57" s="1361"/>
      <c r="T57" s="2"/>
      <c r="U57" s="73"/>
      <c r="X57" s="2"/>
      <c r="Y57" s="73"/>
      <c r="AB57" s="2"/>
      <c r="AC57" s="73"/>
    </row>
    <row r="58" spans="1:29" hidden="1" x14ac:dyDescent="0.25">
      <c r="A58" s="156"/>
      <c r="B58" s="1327" t="s">
        <v>25</v>
      </c>
      <c r="C58" s="1259"/>
      <c r="E58" s="1249"/>
      <c r="F58" s="2"/>
      <c r="H58" s="491"/>
      <c r="I58" s="1357"/>
      <c r="J58" s="617"/>
      <c r="K58" s="1575"/>
      <c r="L58" s="491"/>
      <c r="M58" s="1361"/>
      <c r="N58" s="619"/>
      <c r="O58" s="1575"/>
      <c r="P58" s="491"/>
      <c r="Q58" s="1361"/>
      <c r="T58" s="2"/>
      <c r="U58" s="73"/>
      <c r="X58" s="2"/>
      <c r="Y58" s="73"/>
      <c r="AB58" s="2"/>
      <c r="AC58" s="73"/>
    </row>
    <row r="59" spans="1:29" hidden="1" x14ac:dyDescent="0.25">
      <c r="A59" s="153"/>
      <c r="B59" s="1326">
        <v>4310</v>
      </c>
      <c r="C59" s="1243" t="s">
        <v>23</v>
      </c>
      <c r="D59" s="2">
        <v>0</v>
      </c>
      <c r="E59" s="1249"/>
      <c r="F59" s="2"/>
      <c r="G59" s="1527" t="str">
        <f t="shared" ref="G59:G66" si="29">IF(D59=0,"0.00%",(H59-D59)/D59)</f>
        <v>0.00%</v>
      </c>
      <c r="H59" s="491">
        <f t="shared" ref="H59:H65" si="30">ROUND(D59*(LEFT(I59,5)+1),0)</f>
        <v>0</v>
      </c>
      <c r="I59" s="1359" t="str">
        <f>TEXT('MYP Assumptions'!E72,"0.00%")&amp;", CPI"</f>
        <v>3.11%, CPI</v>
      </c>
      <c r="J59" s="617"/>
      <c r="K59" s="1574" t="str">
        <f t="shared" ref="K59:K66" si="31">IF(H59=0,"0.00%",(L59-H59)/H59)</f>
        <v>0.00%</v>
      </c>
      <c r="L59" s="491">
        <f>ROUND(H59*(LEFT(M59,5)+1),0)</f>
        <v>0</v>
      </c>
      <c r="M59" s="1359" t="str">
        <f>TEXT('MYP Assumptions'!F72,"0.00%")&amp;", CPI"</f>
        <v>3.19%, CPI</v>
      </c>
      <c r="N59" s="619"/>
      <c r="O59" s="1574" t="str">
        <f t="shared" ref="O59:O66" si="32">IF(L59=0,"0.00%",(P59-L59)/L59)</f>
        <v>0.00%</v>
      </c>
      <c r="P59" s="491">
        <f>ROUND(L59*(LEFT(Q59,5)+1),0)</f>
        <v>0</v>
      </c>
      <c r="Q59" s="1359" t="str">
        <f>TEXT('MYP Assumptions'!G72,"0.00%")&amp;", CPI"</f>
        <v>2.86%, CPI</v>
      </c>
      <c r="S59" s="83" t="str">
        <f t="shared" ref="S59:S66" si="33">IF(P59=0,"0.00%",(T59-P59)/P59)</f>
        <v>0.00%</v>
      </c>
      <c r="T59" s="2">
        <f>ROUND(P59*(LEFT(U59,5)+1),0)</f>
        <v>0</v>
      </c>
      <c r="U59" s="81" t="str">
        <f>TEXT('MYP Assumptions'!H72,"0.00%")&amp;", CPI"</f>
        <v>2.73%, CPI</v>
      </c>
      <c r="W59" s="83" t="str">
        <f t="shared" ref="W59:W66" si="34">IF(T59=0,"0.00%",(X59-T59)/T59)</f>
        <v>0.00%</v>
      </c>
      <c r="X59" s="2">
        <f>ROUND(T59*(LEFT(Y59,5)+1),0)</f>
        <v>0</v>
      </c>
      <c r="Y59" s="81" t="str">
        <f>TEXT('MYP Assumptions'!I72,"0.00%")&amp;", CPI"</f>
        <v>2.73%, CPI</v>
      </c>
      <c r="AA59" s="83" t="str">
        <f t="shared" ref="AA59:AA66" si="35">IF(X59=0,"0.00%",(AB59-X59)/X59)</f>
        <v>0.00%</v>
      </c>
      <c r="AB59" s="2">
        <f>ROUND(X59*(LEFT(AC59,5)+1),0)</f>
        <v>0</v>
      </c>
      <c r="AC59" s="81" t="str">
        <f>TEXT('MYP Assumptions'!J72,"0.00%")&amp;", CPI"</f>
        <v>2.73%, CPI</v>
      </c>
    </row>
    <row r="60" spans="1:29" hidden="1" x14ac:dyDescent="0.25">
      <c r="A60" s="153"/>
      <c r="B60" s="1326">
        <v>4311</v>
      </c>
      <c r="C60" s="1243" t="s">
        <v>96</v>
      </c>
      <c r="D60" s="2">
        <v>0</v>
      </c>
      <c r="E60" s="1249"/>
      <c r="F60" s="2"/>
      <c r="G60" s="1527" t="str">
        <f t="shared" si="29"/>
        <v>0.00%</v>
      </c>
      <c r="H60" s="491">
        <f t="shared" si="30"/>
        <v>0</v>
      </c>
      <c r="I60" s="1359" t="str">
        <f>TEXT('MYP Assumptions'!E72,"0.00%")&amp;", CPI"</f>
        <v>3.11%, CPI</v>
      </c>
      <c r="J60" s="617"/>
      <c r="K60" s="1574" t="str">
        <f t="shared" si="31"/>
        <v>0.00%</v>
      </c>
      <c r="L60" s="491">
        <f t="shared" ref="L60:L62" si="36">ROUND(H60*(LEFT(M60,5)+1),0)</f>
        <v>0</v>
      </c>
      <c r="M60" s="1359" t="str">
        <f>TEXT('MYP Assumptions'!F72,"0.00%")&amp;", CPI"</f>
        <v>3.19%, CPI</v>
      </c>
      <c r="N60" s="619"/>
      <c r="O60" s="1574" t="str">
        <f t="shared" si="32"/>
        <v>0.00%</v>
      </c>
      <c r="P60" s="491">
        <f t="shared" ref="P60:P61" si="37">ROUND(L60*(LEFT(Q60,5)+1),0)</f>
        <v>0</v>
      </c>
      <c r="Q60" s="1359" t="str">
        <f>TEXT('MYP Assumptions'!G72,"0.00%")&amp;", CPI"</f>
        <v>2.86%, CPI</v>
      </c>
      <c r="S60" s="83" t="str">
        <f t="shared" si="33"/>
        <v>0.00%</v>
      </c>
      <c r="T60" s="2">
        <f t="shared" ref="T60:T65" si="38">ROUND(P60*(LEFT(U60,5)+1),0)</f>
        <v>0</v>
      </c>
      <c r="U60" s="81" t="str">
        <f>TEXT('MYP Assumptions'!H72,"0.00%")&amp;", CPI"</f>
        <v>2.73%, CPI</v>
      </c>
      <c r="W60" s="83" t="str">
        <f t="shared" si="34"/>
        <v>0.00%</v>
      </c>
      <c r="X60" s="2">
        <f t="shared" ref="X60:X65" si="39">ROUND(T60*(LEFT(Y60,5)+1),0)</f>
        <v>0</v>
      </c>
      <c r="Y60" s="81" t="str">
        <f>TEXT('MYP Assumptions'!I72,"0.00%")&amp;", CPI"</f>
        <v>2.73%, CPI</v>
      </c>
      <c r="AA60" s="83" t="str">
        <f t="shared" si="35"/>
        <v>0.00%</v>
      </c>
      <c r="AB60" s="2">
        <f t="shared" ref="AB60:AB65" si="40">ROUND(X60*(LEFT(AC60,5)+1),0)</f>
        <v>0</v>
      </c>
      <c r="AC60" s="81" t="str">
        <f>TEXT('MYP Assumptions'!J72,"0.00%")&amp;", CPI"</f>
        <v>2.73%, CPI</v>
      </c>
    </row>
    <row r="61" spans="1:29" hidden="1" x14ac:dyDescent="0.25">
      <c r="A61" s="153"/>
      <c r="B61" s="1326">
        <v>4344</v>
      </c>
      <c r="C61" s="1243" t="s">
        <v>97</v>
      </c>
      <c r="D61" s="2">
        <v>0</v>
      </c>
      <c r="E61" s="1249"/>
      <c r="F61" s="2"/>
      <c r="G61" s="1527" t="str">
        <f t="shared" si="29"/>
        <v>0.00%</v>
      </c>
      <c r="H61" s="491">
        <f t="shared" si="30"/>
        <v>0</v>
      </c>
      <c r="I61" s="1359" t="str">
        <f>TEXT('MYP Assumptions'!E72,"0.00%")&amp;", CPI"</f>
        <v>3.11%, CPI</v>
      </c>
      <c r="J61" s="617"/>
      <c r="K61" s="1574" t="str">
        <f t="shared" si="31"/>
        <v>0.00%</v>
      </c>
      <c r="L61" s="491">
        <f t="shared" si="36"/>
        <v>0</v>
      </c>
      <c r="M61" s="1359" t="str">
        <f>TEXT('MYP Assumptions'!F72,"0.00%")&amp;", CPI"</f>
        <v>3.19%, CPI</v>
      </c>
      <c r="N61" s="619"/>
      <c r="O61" s="1574" t="str">
        <f t="shared" si="32"/>
        <v>0.00%</v>
      </c>
      <c r="P61" s="491">
        <f t="shared" si="37"/>
        <v>0</v>
      </c>
      <c r="Q61" s="1359" t="str">
        <f>TEXT('MYP Assumptions'!G72,"0.00%")&amp;", CPI"</f>
        <v>2.86%, CPI</v>
      </c>
      <c r="S61" s="83" t="str">
        <f t="shared" si="33"/>
        <v>0.00%</v>
      </c>
      <c r="T61" s="2">
        <f t="shared" si="38"/>
        <v>0</v>
      </c>
      <c r="U61" s="81" t="str">
        <f>TEXT('MYP Assumptions'!H72,"0.00%")&amp;", CPI"</f>
        <v>2.73%, CPI</v>
      </c>
      <c r="W61" s="83" t="str">
        <f t="shared" si="34"/>
        <v>0.00%</v>
      </c>
      <c r="X61" s="2">
        <f t="shared" si="39"/>
        <v>0</v>
      </c>
      <c r="Y61" s="81" t="str">
        <f>TEXT('MYP Assumptions'!I72,"0.00%")&amp;", CPI"</f>
        <v>2.73%, CPI</v>
      </c>
      <c r="AA61" s="83" t="str">
        <f t="shared" si="35"/>
        <v>0.00%</v>
      </c>
      <c r="AB61" s="2">
        <f t="shared" si="40"/>
        <v>0</v>
      </c>
      <c r="AC61" s="81" t="str">
        <f>TEXT('MYP Assumptions'!J72,"0.00%")&amp;", CPI"</f>
        <v>2.73%, CPI</v>
      </c>
    </row>
    <row r="62" spans="1:29" hidden="1" x14ac:dyDescent="0.25">
      <c r="A62" s="153"/>
      <c r="B62" s="1326">
        <v>4353</v>
      </c>
      <c r="C62" s="1243" t="s">
        <v>21</v>
      </c>
      <c r="D62" s="2">
        <v>0</v>
      </c>
      <c r="E62" s="1249"/>
      <c r="F62" s="2"/>
      <c r="G62" s="1527" t="str">
        <f t="shared" si="29"/>
        <v>0.00%</v>
      </c>
      <c r="H62" s="491">
        <f t="shared" si="30"/>
        <v>0</v>
      </c>
      <c r="I62" s="1359" t="str">
        <f>TEXT('MYP Assumptions'!E72,"0.00%")&amp;", CPI"</f>
        <v>3.11%, CPI</v>
      </c>
      <c r="J62" s="617"/>
      <c r="K62" s="1574" t="str">
        <f t="shared" si="31"/>
        <v>0.00%</v>
      </c>
      <c r="L62" s="491">
        <f t="shared" si="36"/>
        <v>0</v>
      </c>
      <c r="M62" s="1359" t="str">
        <f>TEXT('MYP Assumptions'!F72,"0.00%")&amp;", CPI"</f>
        <v>3.19%, CPI</v>
      </c>
      <c r="N62" s="619"/>
      <c r="O62" s="1574" t="str">
        <f t="shared" si="32"/>
        <v>0.00%</v>
      </c>
      <c r="P62" s="491">
        <f t="shared" ref="P62:P65" si="41">ROUND(L62*(LEFT(Q62,5)+1),0)</f>
        <v>0</v>
      </c>
      <c r="Q62" s="1359" t="str">
        <f>TEXT('MYP Assumptions'!G72,"0.00%")&amp;", CPI"</f>
        <v>2.86%, CPI</v>
      </c>
      <c r="S62" s="83" t="str">
        <f t="shared" si="33"/>
        <v>0.00%</v>
      </c>
      <c r="T62" s="2">
        <f t="shared" si="38"/>
        <v>0</v>
      </c>
      <c r="U62" s="81" t="str">
        <f>TEXT('MYP Assumptions'!H72,"0.00%")&amp;", CPI"</f>
        <v>2.73%, CPI</v>
      </c>
      <c r="W62" s="83" t="str">
        <f t="shared" si="34"/>
        <v>0.00%</v>
      </c>
      <c r="X62" s="2">
        <f t="shared" si="39"/>
        <v>0</v>
      </c>
      <c r="Y62" s="81" t="str">
        <f>TEXT('MYP Assumptions'!I72,"0.00%")&amp;", CPI"</f>
        <v>2.73%, CPI</v>
      </c>
      <c r="AA62" s="83" t="str">
        <f t="shared" si="35"/>
        <v>0.00%</v>
      </c>
      <c r="AB62" s="2">
        <f t="shared" si="40"/>
        <v>0</v>
      </c>
      <c r="AC62" s="81" t="str">
        <f>TEXT('MYP Assumptions'!J72,"0.00%")&amp;", CPI"</f>
        <v>2.73%, CPI</v>
      </c>
    </row>
    <row r="63" spans="1:29" hidden="1" x14ac:dyDescent="0.25">
      <c r="A63" s="153"/>
      <c r="B63" s="1326">
        <v>4400</v>
      </c>
      <c r="C63" s="1243" t="s">
        <v>19</v>
      </c>
      <c r="D63" s="2">
        <v>0</v>
      </c>
      <c r="E63" s="1249"/>
      <c r="F63" s="2"/>
      <c r="G63" s="1527" t="str">
        <f t="shared" si="29"/>
        <v>0.00%</v>
      </c>
      <c r="H63" s="491">
        <f t="shared" si="30"/>
        <v>0</v>
      </c>
      <c r="I63" s="1359" t="str">
        <f>TEXT('MYP Assumptions'!E72,"0.00%")&amp;", CPI"</f>
        <v>3.11%, CPI</v>
      </c>
      <c r="J63" s="617"/>
      <c r="K63" s="1574" t="str">
        <f t="shared" si="31"/>
        <v>0.00%</v>
      </c>
      <c r="L63" s="491">
        <f t="shared" ref="L63:L65" si="42">ROUND(H63*(LEFT(M63,5)+1),0)</f>
        <v>0</v>
      </c>
      <c r="M63" s="1359" t="str">
        <f>TEXT('MYP Assumptions'!F72,"0.00%")&amp;", CPI"</f>
        <v>3.19%, CPI</v>
      </c>
      <c r="N63" s="619"/>
      <c r="O63" s="1574" t="str">
        <f t="shared" si="32"/>
        <v>0.00%</v>
      </c>
      <c r="P63" s="491">
        <f t="shared" si="41"/>
        <v>0</v>
      </c>
      <c r="Q63" s="1359" t="str">
        <f>TEXT('MYP Assumptions'!G72,"0.00%")&amp;", CPI"</f>
        <v>2.86%, CPI</v>
      </c>
      <c r="S63" s="83" t="str">
        <f t="shared" si="33"/>
        <v>0.00%</v>
      </c>
      <c r="T63" s="2">
        <f t="shared" si="38"/>
        <v>0</v>
      </c>
      <c r="U63" s="81" t="str">
        <f>TEXT('MYP Assumptions'!H72,"0.00%")&amp;", CPI"</f>
        <v>2.73%, CPI</v>
      </c>
      <c r="W63" s="83" t="str">
        <f t="shared" si="34"/>
        <v>0.00%</v>
      </c>
      <c r="X63" s="2">
        <f t="shared" si="39"/>
        <v>0</v>
      </c>
      <c r="Y63" s="81" t="str">
        <f>TEXT('MYP Assumptions'!I72,"0.00%")&amp;", CPI"</f>
        <v>2.73%, CPI</v>
      </c>
      <c r="AA63" s="83" t="str">
        <f t="shared" si="35"/>
        <v>0.00%</v>
      </c>
      <c r="AB63" s="2">
        <f t="shared" si="40"/>
        <v>0</v>
      </c>
      <c r="AC63" s="81" t="str">
        <f>TEXT('MYP Assumptions'!J72,"0.00%")&amp;", CPI"</f>
        <v>2.73%, CPI</v>
      </c>
    </row>
    <row r="64" spans="1:29" hidden="1" x14ac:dyDescent="0.25">
      <c r="A64" s="153"/>
      <c r="B64" s="1326">
        <v>4000</v>
      </c>
      <c r="D64" s="2">
        <v>0</v>
      </c>
      <c r="E64" s="1249"/>
      <c r="F64" s="2"/>
      <c r="G64" s="1527" t="str">
        <f t="shared" si="29"/>
        <v>0.00%</v>
      </c>
      <c r="H64" s="491">
        <f t="shared" si="30"/>
        <v>0</v>
      </c>
      <c r="I64" s="1359" t="str">
        <f>TEXT('MYP Assumptions'!E72,"0.00%")&amp;", CPI"</f>
        <v>3.11%, CPI</v>
      </c>
      <c r="J64" s="617"/>
      <c r="K64" s="1574" t="str">
        <f t="shared" si="31"/>
        <v>0.00%</v>
      </c>
      <c r="L64" s="491">
        <f t="shared" si="42"/>
        <v>0</v>
      </c>
      <c r="M64" s="1359" t="str">
        <f>TEXT('MYP Assumptions'!F72,"0.00%")&amp;", CPI"</f>
        <v>3.19%, CPI</v>
      </c>
      <c r="N64" s="619"/>
      <c r="O64" s="1574" t="str">
        <f t="shared" si="32"/>
        <v>0.00%</v>
      </c>
      <c r="P64" s="491">
        <f t="shared" si="41"/>
        <v>0</v>
      </c>
      <c r="Q64" s="1359" t="str">
        <f>TEXT('MYP Assumptions'!G72,"0.00%")&amp;", CPI"</f>
        <v>2.86%, CPI</v>
      </c>
      <c r="S64" s="83" t="str">
        <f t="shared" si="33"/>
        <v>0.00%</v>
      </c>
      <c r="T64" s="2">
        <f t="shared" si="38"/>
        <v>0</v>
      </c>
      <c r="U64" s="81" t="str">
        <f>TEXT('MYP Assumptions'!H72,"0.00%")&amp;", CPI"</f>
        <v>2.73%, CPI</v>
      </c>
      <c r="W64" s="83" t="str">
        <f t="shared" si="34"/>
        <v>0.00%</v>
      </c>
      <c r="X64" s="2">
        <f t="shared" si="39"/>
        <v>0</v>
      </c>
      <c r="Y64" s="81" t="str">
        <f>TEXT('MYP Assumptions'!I72,"0.00%")&amp;", CPI"</f>
        <v>2.73%, CPI</v>
      </c>
      <c r="AA64" s="83" t="str">
        <f t="shared" si="35"/>
        <v>0.00%</v>
      </c>
      <c r="AB64" s="2">
        <f t="shared" si="40"/>
        <v>0</v>
      </c>
      <c r="AC64" s="81" t="str">
        <f>TEXT('MYP Assumptions'!J72,"0.00%")&amp;", CPI"</f>
        <v>2.73%, CPI</v>
      </c>
    </row>
    <row r="65" spans="1:29" hidden="1" x14ac:dyDescent="0.25">
      <c r="A65" s="153"/>
      <c r="B65" s="1326">
        <v>4000</v>
      </c>
      <c r="C65" s="1328"/>
      <c r="D65" s="2">
        <v>0</v>
      </c>
      <c r="E65" s="1249"/>
      <c r="F65" s="2"/>
      <c r="G65" s="1527" t="str">
        <f t="shared" si="29"/>
        <v>0.00%</v>
      </c>
      <c r="H65" s="491">
        <f t="shared" si="30"/>
        <v>0</v>
      </c>
      <c r="I65" s="1359" t="str">
        <f>TEXT('MYP Assumptions'!E72,"0.00%")&amp;", CPI"</f>
        <v>3.11%, CPI</v>
      </c>
      <c r="J65" s="617"/>
      <c r="K65" s="1574" t="str">
        <f t="shared" si="31"/>
        <v>0.00%</v>
      </c>
      <c r="L65" s="491">
        <f t="shared" si="42"/>
        <v>0</v>
      </c>
      <c r="M65" s="1359" t="str">
        <f>TEXT('MYP Assumptions'!F72,"0.00%")&amp;", CPI"</f>
        <v>3.19%, CPI</v>
      </c>
      <c r="N65" s="619"/>
      <c r="O65" s="1574" t="str">
        <f t="shared" si="32"/>
        <v>0.00%</v>
      </c>
      <c r="P65" s="491">
        <f t="shared" si="41"/>
        <v>0</v>
      </c>
      <c r="Q65" s="1359" t="str">
        <f>TEXT('MYP Assumptions'!G72,"0.00%")&amp;", CPI"</f>
        <v>2.86%, CPI</v>
      </c>
      <c r="S65" s="83" t="str">
        <f t="shared" si="33"/>
        <v>0.00%</v>
      </c>
      <c r="T65" s="2">
        <f t="shared" si="38"/>
        <v>0</v>
      </c>
      <c r="U65" s="81" t="str">
        <f>TEXT('MYP Assumptions'!H72,"0.00%")&amp;", CPI"</f>
        <v>2.73%, CPI</v>
      </c>
      <c r="W65" s="83" t="str">
        <f t="shared" si="34"/>
        <v>0.00%</v>
      </c>
      <c r="X65" s="2">
        <f t="shared" si="39"/>
        <v>0</v>
      </c>
      <c r="Y65" s="81" t="str">
        <f>TEXT('MYP Assumptions'!I72,"0.00%")&amp;", CPI"</f>
        <v>2.73%, CPI</v>
      </c>
      <c r="AA65" s="83" t="str">
        <f t="shared" si="35"/>
        <v>0.00%</v>
      </c>
      <c r="AB65" s="2">
        <f t="shared" si="40"/>
        <v>0</v>
      </c>
      <c r="AC65" s="81" t="str">
        <f>TEXT('MYP Assumptions'!J72,"0.00%")&amp;", CPI"</f>
        <v>2.73%, CPI</v>
      </c>
    </row>
    <row r="66" spans="1:29" hidden="1" x14ac:dyDescent="0.25">
      <c r="A66" s="154"/>
      <c r="B66" s="1243"/>
      <c r="D66" s="8">
        <f>SUM(D59:D65)</f>
        <v>0</v>
      </c>
      <c r="E66" s="1249"/>
      <c r="F66" s="2"/>
      <c r="G66" s="1527" t="str">
        <f t="shared" si="29"/>
        <v>0.00%</v>
      </c>
      <c r="H66" s="620">
        <f>SUM(H59:H65)</f>
        <v>0</v>
      </c>
      <c r="I66" s="1358"/>
      <c r="J66" s="621"/>
      <c r="K66" s="1574" t="str">
        <f t="shared" si="31"/>
        <v>0.00%</v>
      </c>
      <c r="L66" s="620">
        <f>SUM(L59:L65)</f>
        <v>0</v>
      </c>
      <c r="M66" s="1361"/>
      <c r="N66" s="619"/>
      <c r="O66" s="1574" t="str">
        <f t="shared" si="32"/>
        <v>0.00%</v>
      </c>
      <c r="P66" s="620">
        <f>SUM(P59:P65)</f>
        <v>0</v>
      </c>
      <c r="Q66" s="1361"/>
      <c r="S66" s="83" t="str">
        <f t="shared" si="33"/>
        <v>0.00%</v>
      </c>
      <c r="T66" s="8">
        <f>SUM(T59:T65)</f>
        <v>0</v>
      </c>
      <c r="U66" s="73"/>
      <c r="W66" s="83" t="str">
        <f t="shared" si="34"/>
        <v>0.00%</v>
      </c>
      <c r="X66" s="8">
        <f>SUM(X59:X65)</f>
        <v>0</v>
      </c>
      <c r="Y66" s="73"/>
      <c r="AA66" s="83" t="str">
        <f t="shared" si="35"/>
        <v>0.00%</v>
      </c>
      <c r="AB66" s="8">
        <f>SUM(AB59:AB65)</f>
        <v>0</v>
      </c>
      <c r="AC66" s="73"/>
    </row>
    <row r="67" spans="1:29" hidden="1" x14ac:dyDescent="0.25">
      <c r="A67" s="153"/>
      <c r="E67" s="1249"/>
      <c r="F67" s="2"/>
      <c r="H67" s="491"/>
      <c r="I67" s="1357"/>
      <c r="J67" s="617"/>
      <c r="K67" s="1575"/>
      <c r="L67" s="491"/>
      <c r="M67" s="1361"/>
      <c r="N67" s="619"/>
      <c r="O67" s="1575"/>
      <c r="P67" s="491"/>
      <c r="Q67" s="1361"/>
      <c r="T67" s="2"/>
      <c r="U67" s="73"/>
      <c r="X67" s="2"/>
      <c r="Y67" s="73"/>
      <c r="AB67" s="2"/>
      <c r="AC67" s="73"/>
    </row>
    <row r="68" spans="1:29" s="4" customFormat="1" x14ac:dyDescent="0.25">
      <c r="A68" s="151"/>
      <c r="B68" s="1323" t="s">
        <v>16</v>
      </c>
      <c r="C68" s="1259"/>
      <c r="D68" s="6"/>
      <c r="E68" s="1250"/>
      <c r="F68" s="6"/>
      <c r="G68" s="1539"/>
      <c r="H68" s="622"/>
      <c r="I68" s="1360"/>
      <c r="J68" s="623"/>
      <c r="K68" s="1576"/>
      <c r="L68" s="622"/>
      <c r="M68" s="1362"/>
      <c r="N68" s="623"/>
      <c r="O68" s="1576"/>
      <c r="P68" s="622"/>
      <c r="Q68" s="1362"/>
      <c r="R68" s="111"/>
      <c r="U68" s="71"/>
      <c r="Y68" s="71"/>
      <c r="AC68" s="71"/>
    </row>
    <row r="69" spans="1:29" x14ac:dyDescent="0.25">
      <c r="A69" s="153"/>
      <c r="B69" s="1326">
        <v>5813</v>
      </c>
      <c r="C69" s="1243" t="s">
        <v>6</v>
      </c>
      <c r="D69" s="2">
        <v>122137</v>
      </c>
      <c r="E69" s="1249" t="s">
        <v>692</v>
      </c>
      <c r="F69" s="2"/>
      <c r="G69" s="1527">
        <f t="shared" ref="G69:G74" si="43">IF(D69=0,"0.00%",(H69-D69)/D69)</f>
        <v>5.573249711389669E-2</v>
      </c>
      <c r="H69" s="491">
        <v>128944</v>
      </c>
      <c r="I69" s="1359"/>
      <c r="J69" s="617"/>
      <c r="K69" s="1574">
        <f t="shared" ref="K69:K82" si="44">IF(H69=0,"0.00%",(L69-H69)/H69)</f>
        <v>-2.7135810894651943E-2</v>
      </c>
      <c r="L69" s="491">
        <v>125445</v>
      </c>
      <c r="M69" s="1359"/>
      <c r="N69" s="619"/>
      <c r="O69" s="1574">
        <f t="shared" ref="O69:O82" si="45">IF(L69=0,"0.00%",(P69-L69)/L69)</f>
        <v>-2.9558770776037309E-2</v>
      </c>
      <c r="P69" s="491">
        <v>121737</v>
      </c>
      <c r="Q69" s="1359"/>
      <c r="S69" s="83">
        <f t="shared" ref="S69:S82" si="46">IF(P69=0,"0.00%",(T69-P69)/P69)</f>
        <v>2.7296549118180996E-2</v>
      </c>
      <c r="T69" s="2">
        <f>ROUND(P69*(LEFT(U69,5)+1),0)</f>
        <v>125060</v>
      </c>
      <c r="U69" s="81" t="str">
        <f>TEXT('MYP Assumptions'!H72,"0.00%")&amp;", CPI"</f>
        <v>2.73%, CPI</v>
      </c>
      <c r="W69" s="83">
        <f t="shared" ref="W69:W82" si="47">IF(T69=0,"0.00%",(X69-T69)/T69)</f>
        <v>2.7298896529665759E-2</v>
      </c>
      <c r="X69" s="2">
        <f>ROUND(T69*(LEFT(Y69,5)+1),0)</f>
        <v>128474</v>
      </c>
      <c r="Y69" s="81" t="str">
        <f>TEXT('MYP Assumptions'!I72,"0.00%")&amp;", CPI"</f>
        <v>2.73%, CPI</v>
      </c>
      <c r="AA69" s="83">
        <f t="shared" ref="AA69:AA82" si="48">IF(X69=0,"0.00%",(AB69-X69)/X69)</f>
        <v>2.7297351993399444E-2</v>
      </c>
      <c r="AB69" s="2">
        <f>ROUND(X69*(LEFT(AC69,5)+1),0)</f>
        <v>131981</v>
      </c>
      <c r="AC69" s="81" t="str">
        <f>TEXT('MYP Assumptions'!J72,"0.00%")&amp;", CPI"</f>
        <v>2.73%, CPI</v>
      </c>
    </row>
    <row r="70" spans="1:29" hidden="1" x14ac:dyDescent="0.25">
      <c r="A70" s="153"/>
      <c r="B70" s="1326"/>
      <c r="D70" s="2">
        <v>0</v>
      </c>
      <c r="E70" s="1249"/>
      <c r="F70" s="2"/>
      <c r="G70" s="1527" t="str">
        <f t="shared" si="43"/>
        <v>0.00%</v>
      </c>
      <c r="H70" s="2">
        <f>ROUND(D70*(LEFT(I70,5)+1),0)</f>
        <v>0</v>
      </c>
      <c r="I70" s="1240" t="str">
        <f>TEXT('MYP Assumptions'!E72,"0.00%")&amp;", CPI"</f>
        <v>3.11%, CPI</v>
      </c>
      <c r="J70" s="66"/>
      <c r="K70" s="1527" t="str">
        <f t="shared" si="44"/>
        <v>0.00%</v>
      </c>
      <c r="L70" s="2">
        <f t="shared" ref="L70:L81" si="49">ROUND(H70*(LEFT(M70,5)+1),0)</f>
        <v>0</v>
      </c>
      <c r="M70" s="1240" t="str">
        <f>TEXT('MYP Assumptions'!F72,"0.00%")&amp;", CPI"</f>
        <v>3.19%, CPI</v>
      </c>
      <c r="O70" s="1527" t="str">
        <f t="shared" si="45"/>
        <v>0.00%</v>
      </c>
      <c r="P70" s="2">
        <f t="shared" ref="P70:P81" si="50">ROUND(L70*(LEFT(Q70,5)+1),0)</f>
        <v>0</v>
      </c>
      <c r="Q70" s="1240" t="str">
        <f>TEXT('MYP Assumptions'!G72,"0.00%")&amp;", CPI"</f>
        <v>2.86%, CPI</v>
      </c>
      <c r="S70" s="83" t="str">
        <f t="shared" si="46"/>
        <v>0.00%</v>
      </c>
      <c r="T70" s="2">
        <f t="shared" ref="T70:T81" si="51">ROUND(P70*(LEFT(U70,5)+1),0)</f>
        <v>0</v>
      </c>
      <c r="U70" s="81" t="str">
        <f>TEXT('MYP Assumptions'!H72,"0.00%")&amp;", CPI"</f>
        <v>2.73%, CPI</v>
      </c>
      <c r="W70" s="83" t="str">
        <f t="shared" si="47"/>
        <v>0.00%</v>
      </c>
      <c r="X70" s="2">
        <f t="shared" ref="X70:X81" si="52">ROUND(T70*(LEFT(Y70,5)+1),0)</f>
        <v>0</v>
      </c>
      <c r="Y70" s="81" t="str">
        <f>TEXT('MYP Assumptions'!I72,"0.00%")&amp;", CPI"</f>
        <v>2.73%, CPI</v>
      </c>
      <c r="AA70" s="83" t="str">
        <f t="shared" si="48"/>
        <v>0.00%</v>
      </c>
      <c r="AB70" s="2">
        <f t="shared" ref="AB70:AB81" si="53">ROUND(X70*(LEFT(AC70,5)+1),0)</f>
        <v>0</v>
      </c>
      <c r="AC70" s="81" t="str">
        <f>TEXT('MYP Assumptions'!J72,"0.00%")&amp;", CPI"</f>
        <v>2.73%, CPI</v>
      </c>
    </row>
    <row r="71" spans="1:29" hidden="1" x14ac:dyDescent="0.25">
      <c r="A71" s="153"/>
      <c r="B71" s="1326"/>
      <c r="D71" s="2">
        <v>0</v>
      </c>
      <c r="E71" s="1249"/>
      <c r="F71" s="2"/>
      <c r="G71" s="1527" t="str">
        <f t="shared" si="43"/>
        <v>0.00%</v>
      </c>
      <c r="H71" s="2">
        <f t="shared" ref="H71:H76" si="54">ROUND(D71*(LEFT(I71,5)+1),0)</f>
        <v>0</v>
      </c>
      <c r="I71" s="1240" t="str">
        <f>TEXT('MYP Assumptions'!E72,"0.00%")&amp;", CPI"</f>
        <v>3.11%, CPI</v>
      </c>
      <c r="J71" s="66"/>
      <c r="K71" s="1527" t="str">
        <f t="shared" si="44"/>
        <v>0.00%</v>
      </c>
      <c r="L71" s="2">
        <f t="shared" si="49"/>
        <v>0</v>
      </c>
      <c r="M71" s="1240" t="str">
        <f>TEXT('MYP Assumptions'!F72,"0.00%")&amp;", CPI"</f>
        <v>3.19%, CPI</v>
      </c>
      <c r="O71" s="1527" t="str">
        <f t="shared" si="45"/>
        <v>0.00%</v>
      </c>
      <c r="P71" s="2">
        <f t="shared" si="50"/>
        <v>0</v>
      </c>
      <c r="Q71" s="1240" t="str">
        <f>TEXT('MYP Assumptions'!G72,"0.00%")&amp;", CPI"</f>
        <v>2.86%, CPI</v>
      </c>
      <c r="S71" s="83" t="str">
        <f t="shared" si="46"/>
        <v>0.00%</v>
      </c>
      <c r="T71" s="2">
        <f t="shared" si="51"/>
        <v>0</v>
      </c>
      <c r="U71" s="81" t="str">
        <f>TEXT('MYP Assumptions'!H72,"0.00%")&amp;", CPI"</f>
        <v>2.73%, CPI</v>
      </c>
      <c r="W71" s="83" t="str">
        <f t="shared" si="47"/>
        <v>0.00%</v>
      </c>
      <c r="X71" s="2">
        <f t="shared" si="52"/>
        <v>0</v>
      </c>
      <c r="Y71" s="81" t="str">
        <f>TEXT('MYP Assumptions'!I72,"0.00%")&amp;", CPI"</f>
        <v>2.73%, CPI</v>
      </c>
      <c r="AA71" s="83" t="str">
        <f t="shared" si="48"/>
        <v>0.00%</v>
      </c>
      <c r="AB71" s="2">
        <f t="shared" si="53"/>
        <v>0</v>
      </c>
      <c r="AC71" s="81" t="str">
        <f>TEXT('MYP Assumptions'!J72,"0.00%")&amp;", CPI"</f>
        <v>2.73%, CPI</v>
      </c>
    </row>
    <row r="72" spans="1:29" hidden="1" x14ac:dyDescent="0.25">
      <c r="A72" s="153"/>
      <c r="B72" s="1326"/>
      <c r="D72" s="2">
        <v>0</v>
      </c>
      <c r="E72" s="1249"/>
      <c r="F72" s="2"/>
      <c r="G72" s="1527" t="str">
        <f t="shared" si="43"/>
        <v>0.00%</v>
      </c>
      <c r="H72" s="2">
        <f t="shared" si="54"/>
        <v>0</v>
      </c>
      <c r="I72" s="1240" t="str">
        <f>TEXT('MYP Assumptions'!E72,"0.00%")&amp;", CPI"</f>
        <v>3.11%, CPI</v>
      </c>
      <c r="J72" s="66"/>
      <c r="K72" s="1527" t="str">
        <f t="shared" si="44"/>
        <v>0.00%</v>
      </c>
      <c r="L72" s="2">
        <f t="shared" si="49"/>
        <v>0</v>
      </c>
      <c r="M72" s="1240" t="str">
        <f>TEXT('MYP Assumptions'!F72,"0.00%")&amp;", CPI"</f>
        <v>3.19%, CPI</v>
      </c>
      <c r="O72" s="1527" t="str">
        <f t="shared" si="45"/>
        <v>0.00%</v>
      </c>
      <c r="P72" s="2">
        <f t="shared" si="50"/>
        <v>0</v>
      </c>
      <c r="Q72" s="1240" t="str">
        <f>TEXT('MYP Assumptions'!G72,"0.00%")&amp;", CPI"</f>
        <v>2.86%, CPI</v>
      </c>
      <c r="S72" s="83" t="str">
        <f t="shared" si="46"/>
        <v>0.00%</v>
      </c>
      <c r="T72" s="2">
        <f t="shared" si="51"/>
        <v>0</v>
      </c>
      <c r="U72" s="81" t="str">
        <f>TEXT('MYP Assumptions'!H72,"0.00%")&amp;", CPI"</f>
        <v>2.73%, CPI</v>
      </c>
      <c r="W72" s="83" t="str">
        <f t="shared" si="47"/>
        <v>0.00%</v>
      </c>
      <c r="X72" s="2">
        <f t="shared" si="52"/>
        <v>0</v>
      </c>
      <c r="Y72" s="81" t="str">
        <f>TEXT('MYP Assumptions'!I72,"0.00%")&amp;", CPI"</f>
        <v>2.73%, CPI</v>
      </c>
      <c r="AA72" s="83" t="str">
        <f t="shared" si="48"/>
        <v>0.00%</v>
      </c>
      <c r="AB72" s="2">
        <f t="shared" si="53"/>
        <v>0</v>
      </c>
      <c r="AC72" s="81" t="str">
        <f>TEXT('MYP Assumptions'!J72,"0.00%")&amp;", CPI"</f>
        <v>2.73%, CPI</v>
      </c>
    </row>
    <row r="73" spans="1:29" hidden="1" x14ac:dyDescent="0.25">
      <c r="A73" s="153"/>
      <c r="B73" s="1326"/>
      <c r="D73" s="2">
        <v>0</v>
      </c>
      <c r="E73" s="1249"/>
      <c r="F73" s="2"/>
      <c r="G73" s="1527" t="str">
        <f t="shared" si="43"/>
        <v>0.00%</v>
      </c>
      <c r="H73" s="2">
        <f t="shared" si="54"/>
        <v>0</v>
      </c>
      <c r="I73" s="1240" t="str">
        <f>TEXT('MYP Assumptions'!E72,"0.00%")&amp;", CPI"</f>
        <v>3.11%, CPI</v>
      </c>
      <c r="J73" s="66"/>
      <c r="K73" s="1527" t="str">
        <f t="shared" si="44"/>
        <v>0.00%</v>
      </c>
      <c r="L73" s="2">
        <f t="shared" si="49"/>
        <v>0</v>
      </c>
      <c r="M73" s="1240" t="str">
        <f>TEXT('MYP Assumptions'!F72,"0.00%")&amp;", CPI"</f>
        <v>3.19%, CPI</v>
      </c>
      <c r="O73" s="1527" t="str">
        <f t="shared" si="45"/>
        <v>0.00%</v>
      </c>
      <c r="P73" s="2">
        <f t="shared" si="50"/>
        <v>0</v>
      </c>
      <c r="Q73" s="1240" t="str">
        <f>TEXT('MYP Assumptions'!G72,"0.00%")&amp;", CPI"</f>
        <v>2.86%, CPI</v>
      </c>
      <c r="S73" s="83" t="str">
        <f t="shared" si="46"/>
        <v>0.00%</v>
      </c>
      <c r="T73" s="2">
        <f t="shared" si="51"/>
        <v>0</v>
      </c>
      <c r="U73" s="81" t="str">
        <f>TEXT('MYP Assumptions'!H72,"0.00%")&amp;", CPI"</f>
        <v>2.73%, CPI</v>
      </c>
      <c r="W73" s="83" t="str">
        <f t="shared" si="47"/>
        <v>0.00%</v>
      </c>
      <c r="X73" s="2">
        <f t="shared" si="52"/>
        <v>0</v>
      </c>
      <c r="Y73" s="81" t="str">
        <f>TEXT('MYP Assumptions'!I72,"0.00%")&amp;", CPI"</f>
        <v>2.73%, CPI</v>
      </c>
      <c r="AA73" s="83" t="str">
        <f t="shared" si="48"/>
        <v>0.00%</v>
      </c>
      <c r="AB73" s="2">
        <f t="shared" si="53"/>
        <v>0</v>
      </c>
      <c r="AC73" s="81" t="str">
        <f>TEXT('MYP Assumptions'!J72,"0.00%")&amp;", CPI"</f>
        <v>2.73%, CPI</v>
      </c>
    </row>
    <row r="74" spans="1:29" hidden="1" x14ac:dyDescent="0.25">
      <c r="A74" s="153"/>
      <c r="B74" s="1326"/>
      <c r="D74" s="2">
        <v>0</v>
      </c>
      <c r="E74" s="1249"/>
      <c r="F74" s="2"/>
      <c r="G74" s="1527" t="str">
        <f t="shared" si="43"/>
        <v>0.00%</v>
      </c>
      <c r="H74" s="2">
        <f t="shared" si="54"/>
        <v>0</v>
      </c>
      <c r="I74" s="1240" t="str">
        <f>TEXT('MYP Assumptions'!E72,"0.00%")&amp;", CPI"</f>
        <v>3.11%, CPI</v>
      </c>
      <c r="J74" s="66"/>
      <c r="K74" s="1527" t="str">
        <f t="shared" si="44"/>
        <v>0.00%</v>
      </c>
      <c r="L74" s="2">
        <f t="shared" si="49"/>
        <v>0</v>
      </c>
      <c r="M74" s="1240" t="str">
        <f>TEXT('MYP Assumptions'!F72,"0.00%")&amp;", CPI"</f>
        <v>3.19%, CPI</v>
      </c>
      <c r="O74" s="1527" t="str">
        <f t="shared" si="45"/>
        <v>0.00%</v>
      </c>
      <c r="P74" s="2">
        <f t="shared" si="50"/>
        <v>0</v>
      </c>
      <c r="Q74" s="1240" t="str">
        <f>TEXT('MYP Assumptions'!G72,"0.00%")&amp;", CPI"</f>
        <v>2.86%, CPI</v>
      </c>
      <c r="S74" s="83" t="str">
        <f t="shared" si="46"/>
        <v>0.00%</v>
      </c>
      <c r="T74" s="2">
        <f t="shared" si="51"/>
        <v>0</v>
      </c>
      <c r="U74" s="81" t="str">
        <f>TEXT('MYP Assumptions'!H72,"0.00%")&amp;", CPI"</f>
        <v>2.73%, CPI</v>
      </c>
      <c r="W74" s="83" t="str">
        <f t="shared" si="47"/>
        <v>0.00%</v>
      </c>
      <c r="X74" s="2">
        <f t="shared" si="52"/>
        <v>0</v>
      </c>
      <c r="Y74" s="81" t="str">
        <f>TEXT('MYP Assumptions'!I72,"0.00%")&amp;", CPI"</f>
        <v>2.73%, CPI</v>
      </c>
      <c r="AA74" s="83" t="str">
        <f t="shared" si="48"/>
        <v>0.00%</v>
      </c>
      <c r="AB74" s="2">
        <f t="shared" si="53"/>
        <v>0</v>
      </c>
      <c r="AC74" s="81" t="str">
        <f>TEXT('MYP Assumptions'!J72,"0.00%")&amp;", CPI"</f>
        <v>2.73%, CPI</v>
      </c>
    </row>
    <row r="75" spans="1:29" hidden="1" x14ac:dyDescent="0.25">
      <c r="A75" s="153"/>
      <c r="B75" s="1326"/>
      <c r="D75" s="2">
        <v>0</v>
      </c>
      <c r="E75" s="1249"/>
      <c r="F75" s="2"/>
      <c r="G75" s="1527" t="str">
        <f>IF(D75=0,"0.00%",(H75-D75)/D75)</f>
        <v>0.00%</v>
      </c>
      <c r="H75" s="2">
        <f t="shared" si="54"/>
        <v>0</v>
      </c>
      <c r="I75" s="1240" t="str">
        <f>TEXT('MYP Assumptions'!E72,"0.00%")&amp;", CPI"</f>
        <v>3.11%, CPI</v>
      </c>
      <c r="J75" s="66"/>
      <c r="K75" s="1527" t="str">
        <f t="shared" si="44"/>
        <v>0.00%</v>
      </c>
      <c r="L75" s="2">
        <f t="shared" si="49"/>
        <v>0</v>
      </c>
      <c r="M75" s="1240" t="str">
        <f>TEXT('MYP Assumptions'!F72,"0.00%")&amp;", CPI"</f>
        <v>3.19%, CPI</v>
      </c>
      <c r="O75" s="1527" t="str">
        <f t="shared" si="45"/>
        <v>0.00%</v>
      </c>
      <c r="P75" s="2">
        <f t="shared" si="50"/>
        <v>0</v>
      </c>
      <c r="Q75" s="1240" t="str">
        <f>TEXT('MYP Assumptions'!G72,"0.00%")&amp;", CPI"</f>
        <v>2.86%, CPI</v>
      </c>
      <c r="S75" s="83" t="str">
        <f t="shared" si="46"/>
        <v>0.00%</v>
      </c>
      <c r="T75" s="2">
        <f t="shared" si="51"/>
        <v>0</v>
      </c>
      <c r="U75" s="81" t="str">
        <f>TEXT('MYP Assumptions'!H72,"0.00%")&amp;", CPI"</f>
        <v>2.73%, CPI</v>
      </c>
      <c r="W75" s="83" t="str">
        <f t="shared" si="47"/>
        <v>0.00%</v>
      </c>
      <c r="X75" s="2">
        <f t="shared" si="52"/>
        <v>0</v>
      </c>
      <c r="Y75" s="81" t="str">
        <f>TEXT('MYP Assumptions'!I72,"0.00%")&amp;", CPI"</f>
        <v>2.73%, CPI</v>
      </c>
      <c r="AA75" s="83" t="str">
        <f t="shared" si="48"/>
        <v>0.00%</v>
      </c>
      <c r="AB75" s="2">
        <f t="shared" si="53"/>
        <v>0</v>
      </c>
      <c r="AC75" s="81" t="str">
        <f>TEXT('MYP Assumptions'!J72,"0.00%")&amp;", CPI"</f>
        <v>2.73%, CPI</v>
      </c>
    </row>
    <row r="76" spans="1:29" hidden="1" x14ac:dyDescent="0.25">
      <c r="A76" s="153"/>
      <c r="B76" s="1326"/>
      <c r="D76" s="2">
        <v>0</v>
      </c>
      <c r="E76" s="1249"/>
      <c r="F76" s="2"/>
      <c r="G76" s="1527" t="str">
        <f t="shared" ref="G76:G82" si="55">IF(D76=0,"0.00%",(H76-D76)/D76)</f>
        <v>0.00%</v>
      </c>
      <c r="H76" s="2">
        <f t="shared" si="54"/>
        <v>0</v>
      </c>
      <c r="I76" s="1240" t="str">
        <f>TEXT('MYP Assumptions'!E72,"0.00%")&amp;", CPI"</f>
        <v>3.11%, CPI</v>
      </c>
      <c r="J76" s="66"/>
      <c r="K76" s="1527" t="str">
        <f t="shared" si="44"/>
        <v>0.00%</v>
      </c>
      <c r="L76" s="2">
        <f t="shared" si="49"/>
        <v>0</v>
      </c>
      <c r="M76" s="1240" t="str">
        <f>TEXT('MYP Assumptions'!F72,"0.00%")&amp;", CPI"</f>
        <v>3.19%, CPI</v>
      </c>
      <c r="O76" s="1527" t="str">
        <f t="shared" si="45"/>
        <v>0.00%</v>
      </c>
      <c r="P76" s="2">
        <f t="shared" si="50"/>
        <v>0</v>
      </c>
      <c r="Q76" s="1240" t="str">
        <f>TEXT('MYP Assumptions'!G72,"0.00%")&amp;", CPI"</f>
        <v>2.86%, CPI</v>
      </c>
      <c r="S76" s="83" t="str">
        <f t="shared" si="46"/>
        <v>0.00%</v>
      </c>
      <c r="T76" s="2">
        <f t="shared" si="51"/>
        <v>0</v>
      </c>
      <c r="U76" s="81" t="str">
        <f>TEXT('MYP Assumptions'!H72,"0.00%")&amp;", CPI"</f>
        <v>2.73%, CPI</v>
      </c>
      <c r="W76" s="83" t="str">
        <f t="shared" si="47"/>
        <v>0.00%</v>
      </c>
      <c r="X76" s="2">
        <f t="shared" si="52"/>
        <v>0</v>
      </c>
      <c r="Y76" s="81" t="str">
        <f>TEXT('MYP Assumptions'!I72,"0.00%")&amp;", CPI"</f>
        <v>2.73%, CPI</v>
      </c>
      <c r="AA76" s="83" t="str">
        <f t="shared" si="48"/>
        <v>0.00%</v>
      </c>
      <c r="AB76" s="2">
        <f t="shared" si="53"/>
        <v>0</v>
      </c>
      <c r="AC76" s="81" t="str">
        <f>TEXT('MYP Assumptions'!J72,"0.00%")&amp;", CPI"</f>
        <v>2.73%, CPI</v>
      </c>
    </row>
    <row r="77" spans="1:29" hidden="1" x14ac:dyDescent="0.25">
      <c r="A77" s="153"/>
      <c r="B77" s="1326"/>
      <c r="D77" s="2">
        <v>0</v>
      </c>
      <c r="E77" s="1249"/>
      <c r="F77" s="2"/>
      <c r="G77" s="1527" t="str">
        <f t="shared" si="55"/>
        <v>0.00%</v>
      </c>
      <c r="H77" s="2">
        <f>ROUND(D77*(LEFT(I77,5)+1),0)</f>
        <v>0</v>
      </c>
      <c r="I77" s="1240" t="str">
        <f>TEXT('MYP Assumptions'!E72,"0.00%")&amp;", CPI"</f>
        <v>3.11%, CPI</v>
      </c>
      <c r="J77" s="66"/>
      <c r="K77" s="1527" t="str">
        <f t="shared" si="44"/>
        <v>0.00%</v>
      </c>
      <c r="L77" s="2">
        <f t="shared" si="49"/>
        <v>0</v>
      </c>
      <c r="M77" s="1240" t="str">
        <f>TEXT('MYP Assumptions'!F72,"0.00%")&amp;", CPI"</f>
        <v>3.19%, CPI</v>
      </c>
      <c r="O77" s="1527" t="str">
        <f t="shared" si="45"/>
        <v>0.00%</v>
      </c>
      <c r="P77" s="2">
        <f t="shared" si="50"/>
        <v>0</v>
      </c>
      <c r="Q77" s="1240" t="str">
        <f>TEXT('MYP Assumptions'!G72,"0.00%")&amp;", CPI"</f>
        <v>2.86%, CPI</v>
      </c>
      <c r="S77" s="83" t="str">
        <f t="shared" si="46"/>
        <v>0.00%</v>
      </c>
      <c r="T77" s="2">
        <f t="shared" si="51"/>
        <v>0</v>
      </c>
      <c r="U77" s="81" t="str">
        <f>TEXT('MYP Assumptions'!H72,"0.00%")&amp;", CPI"</f>
        <v>2.73%, CPI</v>
      </c>
      <c r="W77" s="83" t="str">
        <f t="shared" si="47"/>
        <v>0.00%</v>
      </c>
      <c r="X77" s="2">
        <f t="shared" si="52"/>
        <v>0</v>
      </c>
      <c r="Y77" s="81" t="str">
        <f>TEXT('MYP Assumptions'!I72,"0.00%")&amp;", CPI"</f>
        <v>2.73%, CPI</v>
      </c>
      <c r="AA77" s="83" t="str">
        <f t="shared" si="48"/>
        <v>0.00%</v>
      </c>
      <c r="AB77" s="2">
        <f t="shared" si="53"/>
        <v>0</v>
      </c>
      <c r="AC77" s="81" t="str">
        <f>TEXT('MYP Assumptions'!J72,"0.00%")&amp;", CPI"</f>
        <v>2.73%, CPI</v>
      </c>
    </row>
    <row r="78" spans="1:29" hidden="1" x14ac:dyDescent="0.25">
      <c r="A78" s="153"/>
      <c r="B78" s="1326"/>
      <c r="D78" s="2">
        <v>0</v>
      </c>
      <c r="E78" s="1249"/>
      <c r="F78" s="2"/>
      <c r="G78" s="1527" t="str">
        <f t="shared" si="55"/>
        <v>0.00%</v>
      </c>
      <c r="H78" s="2">
        <f>ROUND(D78*(LEFT(I78,5)+1),0)</f>
        <v>0</v>
      </c>
      <c r="I78" s="1240" t="str">
        <f>TEXT('MYP Assumptions'!E72,"0.00%")&amp;", CPI"</f>
        <v>3.11%, CPI</v>
      </c>
      <c r="J78" s="66"/>
      <c r="K78" s="1527" t="str">
        <f t="shared" si="44"/>
        <v>0.00%</v>
      </c>
      <c r="L78" s="2">
        <f t="shared" si="49"/>
        <v>0</v>
      </c>
      <c r="M78" s="1240" t="str">
        <f>TEXT('MYP Assumptions'!F72,"0.00%")&amp;", CPI"</f>
        <v>3.19%, CPI</v>
      </c>
      <c r="O78" s="1527" t="str">
        <f t="shared" si="45"/>
        <v>0.00%</v>
      </c>
      <c r="P78" s="2">
        <f t="shared" si="50"/>
        <v>0</v>
      </c>
      <c r="Q78" s="1240" t="str">
        <f>TEXT('MYP Assumptions'!G72,"0.00%")&amp;", CPI"</f>
        <v>2.86%, CPI</v>
      </c>
      <c r="S78" s="83" t="str">
        <f t="shared" si="46"/>
        <v>0.00%</v>
      </c>
      <c r="T78" s="2">
        <f t="shared" si="51"/>
        <v>0</v>
      </c>
      <c r="U78" s="81" t="str">
        <f>TEXT('MYP Assumptions'!H72,"0.00%")&amp;", CPI"</f>
        <v>2.73%, CPI</v>
      </c>
      <c r="W78" s="83" t="str">
        <f t="shared" si="47"/>
        <v>0.00%</v>
      </c>
      <c r="X78" s="2">
        <f t="shared" si="52"/>
        <v>0</v>
      </c>
      <c r="Y78" s="81" t="str">
        <f>TEXT('MYP Assumptions'!I72,"0.00%")&amp;", CPI"</f>
        <v>2.73%, CPI</v>
      </c>
      <c r="AA78" s="83" t="str">
        <f t="shared" si="48"/>
        <v>0.00%</v>
      </c>
      <c r="AB78" s="2">
        <f t="shared" si="53"/>
        <v>0</v>
      </c>
      <c r="AC78" s="81" t="str">
        <f>TEXT('MYP Assumptions'!J72,"0.00%")&amp;", CPI"</f>
        <v>2.73%, CPI</v>
      </c>
    </row>
    <row r="79" spans="1:29" hidden="1" x14ac:dyDescent="0.25">
      <c r="A79" s="153"/>
      <c r="B79" s="1326"/>
      <c r="D79" s="2">
        <v>0</v>
      </c>
      <c r="E79" s="1249"/>
      <c r="F79" s="2"/>
      <c r="G79" s="1527" t="str">
        <f t="shared" si="55"/>
        <v>0.00%</v>
      </c>
      <c r="H79" s="2">
        <f>ROUND(D79*(LEFT(I79,5)+1),0)</f>
        <v>0</v>
      </c>
      <c r="I79" s="1240" t="str">
        <f>TEXT('MYP Assumptions'!E72,"0.00%")&amp;", CPI"</f>
        <v>3.11%, CPI</v>
      </c>
      <c r="J79" s="66"/>
      <c r="K79" s="1527" t="str">
        <f t="shared" si="44"/>
        <v>0.00%</v>
      </c>
      <c r="L79" s="2">
        <f t="shared" si="49"/>
        <v>0</v>
      </c>
      <c r="M79" s="1240" t="str">
        <f>TEXT('MYP Assumptions'!F72,"0.00%")&amp;", CPI"</f>
        <v>3.19%, CPI</v>
      </c>
      <c r="O79" s="1527" t="str">
        <f t="shared" si="45"/>
        <v>0.00%</v>
      </c>
      <c r="P79" s="2">
        <f t="shared" si="50"/>
        <v>0</v>
      </c>
      <c r="Q79" s="1240" t="str">
        <f>TEXT('MYP Assumptions'!G72,"0.00%")&amp;", CPI"</f>
        <v>2.86%, CPI</v>
      </c>
      <c r="S79" s="83" t="str">
        <f t="shared" si="46"/>
        <v>0.00%</v>
      </c>
      <c r="T79" s="2">
        <f t="shared" si="51"/>
        <v>0</v>
      </c>
      <c r="U79" s="81" t="str">
        <f>TEXT('MYP Assumptions'!H72,"0.00%")&amp;", CPI"</f>
        <v>2.73%, CPI</v>
      </c>
      <c r="W79" s="83" t="str">
        <f t="shared" si="47"/>
        <v>0.00%</v>
      </c>
      <c r="X79" s="2">
        <f t="shared" si="52"/>
        <v>0</v>
      </c>
      <c r="Y79" s="81" t="str">
        <f>TEXT('MYP Assumptions'!I72,"0.00%")&amp;", CPI"</f>
        <v>2.73%, CPI</v>
      </c>
      <c r="AA79" s="83" t="str">
        <f t="shared" si="48"/>
        <v>0.00%</v>
      </c>
      <c r="AB79" s="2">
        <f t="shared" si="53"/>
        <v>0</v>
      </c>
      <c r="AC79" s="81" t="str">
        <f>TEXT('MYP Assumptions'!J72,"0.00%")&amp;", CPI"</f>
        <v>2.73%, CPI</v>
      </c>
    </row>
    <row r="80" spans="1:29" hidden="1" x14ac:dyDescent="0.25">
      <c r="A80" s="153"/>
      <c r="B80" s="1326"/>
      <c r="D80" s="2">
        <v>0</v>
      </c>
      <c r="E80" s="1249"/>
      <c r="F80" s="2"/>
      <c r="G80" s="1527" t="str">
        <f t="shared" si="55"/>
        <v>0.00%</v>
      </c>
      <c r="H80" s="2">
        <f>ROUND(D80*(LEFT(I80,5)+1),0)</f>
        <v>0</v>
      </c>
      <c r="I80" s="1240" t="str">
        <f>TEXT('MYP Assumptions'!E72,"0.00%")&amp;", CPI"</f>
        <v>3.11%, CPI</v>
      </c>
      <c r="J80" s="66"/>
      <c r="K80" s="1527" t="str">
        <f t="shared" si="44"/>
        <v>0.00%</v>
      </c>
      <c r="L80" s="2">
        <f t="shared" si="49"/>
        <v>0</v>
      </c>
      <c r="M80" s="1240" t="str">
        <f>TEXT('MYP Assumptions'!F72,"0.00%")&amp;", CPI"</f>
        <v>3.19%, CPI</v>
      </c>
      <c r="O80" s="1527" t="str">
        <f t="shared" si="45"/>
        <v>0.00%</v>
      </c>
      <c r="P80" s="2">
        <f t="shared" si="50"/>
        <v>0</v>
      </c>
      <c r="Q80" s="1240" t="str">
        <f>TEXT('MYP Assumptions'!G72,"0.00%")&amp;", CPI"</f>
        <v>2.86%, CPI</v>
      </c>
      <c r="S80" s="83" t="str">
        <f t="shared" si="46"/>
        <v>0.00%</v>
      </c>
      <c r="T80" s="2">
        <f t="shared" si="51"/>
        <v>0</v>
      </c>
      <c r="U80" s="81" t="str">
        <f>TEXT('MYP Assumptions'!H72,"0.00%")&amp;", CPI"</f>
        <v>2.73%, CPI</v>
      </c>
      <c r="W80" s="83" t="str">
        <f t="shared" si="47"/>
        <v>0.00%</v>
      </c>
      <c r="X80" s="2">
        <f t="shared" si="52"/>
        <v>0</v>
      </c>
      <c r="Y80" s="81" t="str">
        <f>TEXT('MYP Assumptions'!I72,"0.00%")&amp;", CPI"</f>
        <v>2.73%, CPI</v>
      </c>
      <c r="AA80" s="83" t="str">
        <f t="shared" si="48"/>
        <v>0.00%</v>
      </c>
      <c r="AB80" s="2">
        <f t="shared" si="53"/>
        <v>0</v>
      </c>
      <c r="AC80" s="81" t="str">
        <f>TEXT('MYP Assumptions'!J72,"0.00%")&amp;", CPI"</f>
        <v>2.73%, CPI</v>
      </c>
    </row>
    <row r="81" spans="1:29" hidden="1" x14ac:dyDescent="0.25">
      <c r="A81" s="153"/>
      <c r="B81" s="1326"/>
      <c r="D81" s="2">
        <f>'RS 3010-ALL'!AF80</f>
        <v>0</v>
      </c>
      <c r="E81" s="1249"/>
      <c r="F81" s="2"/>
      <c r="G81" s="1527" t="str">
        <f t="shared" si="55"/>
        <v>0.00%</v>
      </c>
      <c r="H81" s="2">
        <f>ROUND(D81*(LEFT(I81,5)+1),0)</f>
        <v>0</v>
      </c>
      <c r="I81" s="1240" t="str">
        <f>TEXT('MYP Assumptions'!E72,"0.00%")&amp;", CPI"</f>
        <v>3.11%, CPI</v>
      </c>
      <c r="J81" s="66"/>
      <c r="K81" s="1527" t="str">
        <f t="shared" si="44"/>
        <v>0.00%</v>
      </c>
      <c r="L81" s="2">
        <f t="shared" si="49"/>
        <v>0</v>
      </c>
      <c r="M81" s="1240" t="str">
        <f>TEXT('MYP Assumptions'!F72,"0.00%")&amp;", CPI"</f>
        <v>3.19%, CPI</v>
      </c>
      <c r="O81" s="1527" t="str">
        <f t="shared" si="45"/>
        <v>0.00%</v>
      </c>
      <c r="P81" s="2">
        <f t="shared" si="50"/>
        <v>0</v>
      </c>
      <c r="Q81" s="1240" t="str">
        <f>TEXT('MYP Assumptions'!G72,"0.00%")&amp;", CPI"</f>
        <v>2.86%, CPI</v>
      </c>
      <c r="S81" s="83" t="str">
        <f t="shared" si="46"/>
        <v>0.00%</v>
      </c>
      <c r="T81" s="2">
        <f t="shared" si="51"/>
        <v>0</v>
      </c>
      <c r="U81" s="81" t="str">
        <f>TEXT('MYP Assumptions'!H72,"0.00%")&amp;", CPI"</f>
        <v>2.73%, CPI</v>
      </c>
      <c r="W81" s="83" t="str">
        <f t="shared" si="47"/>
        <v>0.00%</v>
      </c>
      <c r="X81" s="2">
        <f t="shared" si="52"/>
        <v>0</v>
      </c>
      <c r="Y81" s="81" t="str">
        <f>TEXT('MYP Assumptions'!I72,"0.00%")&amp;", CPI"</f>
        <v>2.73%, CPI</v>
      </c>
      <c r="AA81" s="83" t="str">
        <f t="shared" si="48"/>
        <v>0.00%</v>
      </c>
      <c r="AB81" s="2">
        <f t="shared" si="53"/>
        <v>0</v>
      </c>
      <c r="AC81" s="81" t="str">
        <f>TEXT('MYP Assumptions'!J72,"0.00%")&amp;", CPI"</f>
        <v>2.73%, CPI</v>
      </c>
    </row>
    <row r="82" spans="1:29" x14ac:dyDescent="0.25">
      <c r="A82" s="154"/>
      <c r="D82" s="8">
        <f>SUM(D69:D81)</f>
        <v>122137</v>
      </c>
      <c r="E82" s="1249"/>
      <c r="F82" s="2"/>
      <c r="G82" s="1527">
        <f t="shared" si="55"/>
        <v>5.573249711389669E-2</v>
      </c>
      <c r="H82" s="8">
        <f>SUM(H69:H81)</f>
        <v>128944</v>
      </c>
      <c r="I82" s="1882">
        <f>+H82-D82</f>
        <v>6807</v>
      </c>
      <c r="J82" s="29"/>
      <c r="K82" s="1527">
        <f t="shared" si="44"/>
        <v>-2.7135810894651943E-2</v>
      </c>
      <c r="L82" s="8">
        <f>SUM(L69:L81)</f>
        <v>125445</v>
      </c>
      <c r="M82" s="1882">
        <f>+L82-H82</f>
        <v>-3499</v>
      </c>
      <c r="O82" s="1527">
        <f t="shared" si="45"/>
        <v>-2.9558770776037309E-2</v>
      </c>
      <c r="P82" s="8">
        <f>SUM(P69:P81)</f>
        <v>121737</v>
      </c>
      <c r="Q82" s="1882">
        <f>+P82-L82</f>
        <v>-3708</v>
      </c>
      <c r="S82" s="83">
        <f t="shared" si="46"/>
        <v>2.7296549118180996E-2</v>
      </c>
      <c r="T82" s="8">
        <f>SUM(T69:T81)</f>
        <v>125060</v>
      </c>
      <c r="U82" s="73"/>
      <c r="W82" s="83">
        <f t="shared" si="47"/>
        <v>2.7298896529665759E-2</v>
      </c>
      <c r="X82" s="8">
        <f>SUM(X69:X81)</f>
        <v>128474</v>
      </c>
      <c r="Y82" s="73"/>
      <c r="AA82" s="83">
        <f t="shared" si="48"/>
        <v>2.7297351993399444E-2</v>
      </c>
      <c r="AB82" s="8">
        <f>SUM(AB69:AB81)</f>
        <v>131981</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217800</v>
      </c>
      <c r="E85" s="1249"/>
      <c r="F85" s="2"/>
      <c r="G85" s="1527">
        <f>IF(D85=0,"0.00%",(H85-D85)/D85)</f>
        <v>0</v>
      </c>
      <c r="H85" s="8">
        <f>SUM(H82,H66,H55,H13)</f>
        <v>217800</v>
      </c>
      <c r="I85" s="1882">
        <f>+H85-D85</f>
        <v>0</v>
      </c>
      <c r="J85" s="29"/>
      <c r="K85" s="1527">
        <f>IF(H85=0,"0.00%",(L85-H85)/H85)</f>
        <v>0</v>
      </c>
      <c r="L85" s="8">
        <f>SUM(L82,L66,L55,L13)</f>
        <v>217800</v>
      </c>
      <c r="M85" s="1882">
        <f>+L85-H85</f>
        <v>0</v>
      </c>
      <c r="O85" s="1527">
        <f>IF(L85=0,"0.00%",(P85-L85)/L85)</f>
        <v>0</v>
      </c>
      <c r="P85" s="8">
        <f>SUM(P82,P66,P55,P13)</f>
        <v>217800</v>
      </c>
      <c r="Q85" s="1882">
        <f>+P85-L85</f>
        <v>0</v>
      </c>
      <c r="S85" s="83">
        <f>IF(P85=0,"0.00%",(T85-P85)/P85)</f>
        <v>2.6928374655647382E-2</v>
      </c>
      <c r="T85" s="8">
        <f>SUM(T82,T66,T55,T13)</f>
        <v>223665</v>
      </c>
      <c r="U85" s="73"/>
      <c r="W85" s="83">
        <f>IF(T85=0,"0.00%",(X85-T85)/T85)</f>
        <v>2.9477119799700444E-2</v>
      </c>
      <c r="X85" s="8">
        <f>SUM(X82,X66,X55,X13)</f>
        <v>230258</v>
      </c>
      <c r="Y85" s="73"/>
      <c r="AA85" s="83">
        <f>IF(X85=0,"0.00%",(AB85-X85)/X85)</f>
        <v>0.1464313943489477</v>
      </c>
      <c r="AB85" s="8">
        <f>SUM(AB82,AB66,AB55,AB13)</f>
        <v>263975</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0</v>
      </c>
      <c r="G87" s="1527" t="str">
        <f>IF(D87=0,"0.00%",(H87-D87)/D87)</f>
        <v>0.00%</v>
      </c>
      <c r="H87" s="3">
        <f>H11-H85</f>
        <v>0</v>
      </c>
      <c r="I87" s="1257"/>
      <c r="J87" s="66"/>
      <c r="K87" s="1527" t="str">
        <f>IF(H87=0,"0.00%",(L87-H87)/H87)</f>
        <v>0.00%</v>
      </c>
      <c r="L87" s="3">
        <f>L11-L85</f>
        <v>0</v>
      </c>
      <c r="M87" s="1335"/>
      <c r="O87" s="1527" t="str">
        <f>IF(L87=0,"0.00%",(P87-L87)/L87)</f>
        <v>0.00%</v>
      </c>
      <c r="P87" s="3">
        <f>P11-P85</f>
        <v>0</v>
      </c>
      <c r="Q87" s="1335"/>
      <c r="S87" s="83" t="str">
        <f>IF(P87=0,"0.00%",(T87-P87)/P87)</f>
        <v>0.00%</v>
      </c>
      <c r="T87" s="3">
        <f>T11-T85</f>
        <v>-5865</v>
      </c>
      <c r="U87" s="73"/>
      <c r="W87" s="83">
        <f>IF(T87=0,"0.00%",(X87-T87)/T87)</f>
        <v>1.1241261722080136</v>
      </c>
      <c r="X87" s="3">
        <f>X11-X85</f>
        <v>-12458</v>
      </c>
      <c r="Y87" s="73"/>
      <c r="AA87" s="83">
        <f>IF(X87=0,"0.00%",(AB87-X87)/X87)</f>
        <v>2.7064536843795151</v>
      </c>
      <c r="AB87" s="3">
        <f>AB11-AB85</f>
        <v>-46175</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0</v>
      </c>
      <c r="G89" s="1527" t="str">
        <f>IF(D89=0,"0.00%",(H89-D89)/D89)</f>
        <v>0.00%</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-5865</v>
      </c>
      <c r="U89" s="73"/>
      <c r="W89" s="83">
        <f>IF(T89=0,"0.00%",(X89-T89)/T89)</f>
        <v>2.1241261722080136</v>
      </c>
      <c r="X89" s="49">
        <f>X7+X87</f>
        <v>-18323</v>
      </c>
      <c r="Y89" s="73"/>
      <c r="AA89" s="83">
        <f>IF(X89=0,"0.00%",(AB89-X89)/X89)</f>
        <v>2.5200567592643126</v>
      </c>
      <c r="AB89" s="49">
        <f>AB7+AB87</f>
        <v>-64498</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57"/>
      <c r="B95" s="1329"/>
      <c r="C95" s="1330" t="s">
        <v>226</v>
      </c>
      <c r="D95" s="135">
        <f>+D82+D66+D53+D41+D30</f>
        <v>210029</v>
      </c>
      <c r="E95" s="1251"/>
      <c r="G95" s="1541" t="s">
        <v>226</v>
      </c>
      <c r="H95" s="135">
        <f>+H82+H66+H53+H41+H30</f>
        <v>208541</v>
      </c>
      <c r="I95" s="1260"/>
      <c r="J95" s="136"/>
      <c r="K95" s="1541" t="s">
        <v>226</v>
      </c>
      <c r="L95" s="135">
        <f>+L82+L66+L53+L41+L30</f>
        <v>208541</v>
      </c>
      <c r="M95" s="1338"/>
      <c r="O95" s="1541" t="s">
        <v>226</v>
      </c>
      <c r="P95" s="135">
        <f>+P82+P66+P53+P41+P30</f>
        <v>208541</v>
      </c>
      <c r="Q95" s="1338"/>
      <c r="R95" s="140"/>
      <c r="S95" s="134" t="s">
        <v>226</v>
      </c>
      <c r="T95" s="135">
        <f>+T82+T66+T53+T41+T30</f>
        <v>215894</v>
      </c>
      <c r="U95" s="139"/>
      <c r="W95" s="134" t="s">
        <v>226</v>
      </c>
      <c r="X95" s="135">
        <f>+X82+X66+X53+X41+X30</f>
        <v>222487</v>
      </c>
      <c r="Y95" s="139"/>
      <c r="AA95" s="134" t="s">
        <v>226</v>
      </c>
      <c r="AB95" s="135">
        <f>+AB82+AB66+AB53+AB41+AB30</f>
        <v>228973</v>
      </c>
      <c r="AC95" s="139"/>
    </row>
    <row r="96" spans="1:29" s="138" customFormat="1" ht="11.25" x14ac:dyDescent="0.2">
      <c r="A96" s="159"/>
      <c r="B96" s="1329"/>
      <c r="C96" s="1331" t="s">
        <v>227</v>
      </c>
      <c r="D96" s="143">
        <f>+D13</f>
        <v>7771</v>
      </c>
      <c r="E96" s="1252"/>
      <c r="F96" s="145"/>
      <c r="G96" s="1546" t="s">
        <v>227</v>
      </c>
      <c r="H96" s="143">
        <f>+H13</f>
        <v>9259</v>
      </c>
      <c r="I96" s="1261"/>
      <c r="J96" s="144"/>
      <c r="K96" s="1546" t="s">
        <v>227</v>
      </c>
      <c r="L96" s="143">
        <f>+L13</f>
        <v>9259</v>
      </c>
      <c r="M96" s="1338"/>
      <c r="O96" s="1546" t="s">
        <v>227</v>
      </c>
      <c r="P96" s="143">
        <f>+P13</f>
        <v>9259</v>
      </c>
      <c r="Q96" s="1251"/>
      <c r="R96" s="140"/>
      <c r="S96" s="142" t="s">
        <v>227</v>
      </c>
      <c r="T96" s="143">
        <f>+T13</f>
        <v>7771</v>
      </c>
      <c r="W96" s="142" t="s">
        <v>227</v>
      </c>
      <c r="X96" s="143">
        <f>+X13</f>
        <v>7771</v>
      </c>
      <c r="AA96" s="142" t="s">
        <v>227</v>
      </c>
      <c r="AB96" s="143">
        <f>+AB13</f>
        <v>35002</v>
      </c>
    </row>
    <row r="97" spans="1:28" s="138" customFormat="1" ht="11.25" x14ac:dyDescent="0.2">
      <c r="A97" s="159"/>
      <c r="B97" s="1329"/>
      <c r="C97" s="1331"/>
      <c r="D97" s="146">
        <f>+D95+D96</f>
        <v>217800</v>
      </c>
      <c r="E97" s="1252"/>
      <c r="F97" s="145"/>
      <c r="G97" s="1546"/>
      <c r="H97" s="146">
        <f>+H95+H96</f>
        <v>217800</v>
      </c>
      <c r="I97" s="1261"/>
      <c r="J97" s="144"/>
      <c r="K97" s="1546"/>
      <c r="L97" s="146">
        <f>+L95+L96</f>
        <v>217800</v>
      </c>
      <c r="M97" s="1251"/>
      <c r="O97" s="1546"/>
      <c r="P97" s="146">
        <f>+P95+P96</f>
        <v>217800</v>
      </c>
      <c r="Q97" s="1251"/>
      <c r="R97" s="140"/>
      <c r="S97" s="142"/>
      <c r="T97" s="146">
        <f>+T95+T96</f>
        <v>223665</v>
      </c>
      <c r="W97" s="142"/>
      <c r="X97" s="146">
        <f>+X95+X96</f>
        <v>230258</v>
      </c>
      <c r="AA97" s="142"/>
      <c r="AB97" s="146">
        <f>+AB95+AB96</f>
        <v>263975</v>
      </c>
    </row>
    <row r="98" spans="1:28" ht="15"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F50"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21.42578125" style="1243" customWidth="1"/>
    <col min="4" max="4" width="16" style="2" customWidth="1"/>
    <col min="5" max="5" width="35.28515625" style="1243" bestFit="1" customWidth="1"/>
    <col min="6" max="6" width="6" style="39" customWidth="1"/>
    <col min="7" max="7" width="17.42578125" style="1399" bestFit="1" customWidth="1"/>
    <col min="8" max="8" width="13.85546875" style="123" bestFit="1" customWidth="1"/>
    <col min="9" max="9" width="27.140625" style="1254" customWidth="1"/>
    <col min="10" max="10" width="5.7109375" style="59" customWidth="1"/>
    <col min="11" max="11" width="10.28515625" style="1550"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283</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6264</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D4" s="36"/>
      <c r="E4" s="1254"/>
      <c r="F4" s="51"/>
      <c r="G4" s="1540"/>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636450.82999999996</v>
      </c>
      <c r="E7" s="1315"/>
      <c r="F7" s="1231"/>
      <c r="H7" s="492">
        <f>D89</f>
        <v>275560.82999999996</v>
      </c>
      <c r="I7" s="1489" t="s">
        <v>807</v>
      </c>
      <c r="J7" s="60"/>
      <c r="L7" s="2">
        <f>H89</f>
        <v>0.82999999995809048</v>
      </c>
      <c r="M7" s="1315"/>
      <c r="P7" s="2">
        <f>L89</f>
        <v>0</v>
      </c>
      <c r="Q7" s="1315"/>
      <c r="T7" s="2">
        <f>P89</f>
        <v>0</v>
      </c>
      <c r="U7" s="105"/>
      <c r="X7" s="2">
        <f>T89</f>
        <v>0</v>
      </c>
      <c r="Y7" s="105"/>
      <c r="AB7" s="2">
        <f>X89</f>
        <v>0</v>
      </c>
      <c r="AC7" s="105"/>
    </row>
    <row r="8" spans="1:29" x14ac:dyDescent="0.25">
      <c r="E8" s="1315"/>
      <c r="H8" s="2"/>
      <c r="I8" s="1315"/>
      <c r="L8" s="2"/>
      <c r="M8" s="1315"/>
      <c r="Q8" s="1315"/>
      <c r="U8" s="105"/>
      <c r="Y8" s="105"/>
      <c r="AC8" s="105"/>
    </row>
    <row r="9" spans="1:29" x14ac:dyDescent="0.25">
      <c r="B9" s="1317" t="s">
        <v>52</v>
      </c>
      <c r="C9" s="1243" t="s">
        <v>53</v>
      </c>
      <c r="D9" s="2">
        <f>D3</f>
        <v>0</v>
      </c>
      <c r="E9" s="1315"/>
      <c r="G9" s="1527" t="str">
        <f>IF(D9=0,"0.00%",(H9-D9)/D9)</f>
        <v>0.00%</v>
      </c>
      <c r="H9" s="3">
        <f>H3</f>
        <v>0</v>
      </c>
      <c r="I9" s="1315"/>
      <c r="J9" s="61"/>
      <c r="K9" s="1527" t="str">
        <f>IF(H9=0,"0.00%",(L9-H9)/H9)</f>
        <v>0.00%</v>
      </c>
      <c r="L9" s="3">
        <f>L3</f>
        <v>0</v>
      </c>
      <c r="M9" s="1315"/>
      <c r="O9" s="1527" t="str">
        <f>IF(L9=0,"0.00%",(P9-L9)/L9)</f>
        <v>0.00%</v>
      </c>
      <c r="P9" s="3">
        <f>P3</f>
        <v>0</v>
      </c>
      <c r="Q9" s="1315"/>
      <c r="S9" s="83" t="str">
        <f>IF(P9=0,"0.00%",(T9-P9)/P9)</f>
        <v>0.00%</v>
      </c>
      <c r="T9" s="3">
        <f>T3</f>
        <v>0</v>
      </c>
      <c r="U9" s="105"/>
      <c r="W9" s="83" t="str">
        <f>IF(T9=0,"0.00%",(X9-T9)/T9)</f>
        <v>0.00%</v>
      </c>
      <c r="X9" s="3">
        <f>X3</f>
        <v>0</v>
      </c>
      <c r="Y9" s="105"/>
      <c r="AA9" s="83" t="str">
        <f>IF(X9=0,"0.00%",(AB9-X9)/X9)</f>
        <v>0.00%</v>
      </c>
      <c r="AB9" s="3">
        <f>AB3</f>
        <v>0</v>
      </c>
      <c r="AC9" s="105"/>
    </row>
    <row r="10" spans="1:29" x14ac:dyDescent="0.25">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0</v>
      </c>
      <c r="E11" s="1315"/>
      <c r="G11" s="1527" t="str">
        <f t="shared" si="0"/>
        <v>0.00%</v>
      </c>
      <c r="H11" s="8">
        <f>SUM(H9:H10)</f>
        <v>0</v>
      </c>
      <c r="I11" s="1315"/>
      <c r="J11" s="62"/>
      <c r="K11" s="1527" t="str">
        <f>IF(H11=0,"0.00%",(L11-H11)/H11)</f>
        <v>0.00%</v>
      </c>
      <c r="L11" s="8">
        <f>SUM(L9:L10)</f>
        <v>0</v>
      </c>
      <c r="M11" s="1315"/>
      <c r="O11" s="1527" t="str">
        <f>IF(L11=0,"0.00%",(P11-L11)/L11)</f>
        <v>0.00%</v>
      </c>
      <c r="P11" s="8">
        <f>SUM(P9:P10)</f>
        <v>0</v>
      </c>
      <c r="Q11" s="1315"/>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C13" s="1325" t="s">
        <v>64</v>
      </c>
      <c r="D13" s="9">
        <v>12504</v>
      </c>
      <c r="E13" s="1426">
        <v>3.6999999999999998E-2</v>
      </c>
      <c r="G13" s="1527">
        <f t="shared" si="0"/>
        <v>-6.3099808061420348E-2</v>
      </c>
      <c r="H13" s="9">
        <f>ROUND(H7-(H7/(1+I13)),0)</f>
        <v>11715</v>
      </c>
      <c r="I13" s="1411">
        <v>4.4400000000000002E-2</v>
      </c>
      <c r="J13" s="64"/>
      <c r="K13" s="1527">
        <f>IF(H13=0,"0.00%",(L13-H13)/H13)</f>
        <v>-1</v>
      </c>
      <c r="L13" s="9">
        <f>ROUND(L11-(L11/(1+E13)),0)</f>
        <v>0</v>
      </c>
      <c r="M13" s="1315"/>
      <c r="O13" s="1527" t="str">
        <f>IF(L13=0,"0.00%",(P13-L13)/L13)</f>
        <v>0.00%</v>
      </c>
      <c r="P13" s="9">
        <f>ROUND(P11-(P11/(1+E13)),0)</f>
        <v>0</v>
      </c>
      <c r="Q13" s="1315"/>
      <c r="S13" s="83" t="str">
        <f>IF(P13=0,"0.00%",(T13-P13)/P13)</f>
        <v>0.00%</v>
      </c>
      <c r="T13" s="77">
        <f>ROUND(T11-(T11/(1+E13)),0)</f>
        <v>0</v>
      </c>
      <c r="U13" s="105"/>
      <c r="W13" s="83" t="str">
        <f>IF(T13=0,"0.00%",(X13-T13)/T13)</f>
        <v>0.00%</v>
      </c>
      <c r="X13" s="77">
        <f>ROUND(X11-(X11/(1+E13)),0)</f>
        <v>0</v>
      </c>
      <c r="Y13" s="105"/>
      <c r="AA13" s="83" t="str">
        <f>IF(X13=0,"0.00%",(AB13-X13)/X13)</f>
        <v>0.00%</v>
      </c>
      <c r="AB13" s="77">
        <f>ROUND(AB11-(AB11/(1+F13)),0)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D11-D13+D7</f>
        <v>623946.82999999996</v>
      </c>
      <c r="E15" s="1315"/>
      <c r="G15" s="1527">
        <f t="shared" si="0"/>
        <v>-0.57713411253327473</v>
      </c>
      <c r="H15" s="10">
        <f>H11-H13+H7</f>
        <v>263845.82999999996</v>
      </c>
      <c r="I15" s="1315"/>
      <c r="J15" s="62"/>
      <c r="K15" s="1527">
        <f>IF(H15=0,"0.00%",(L15-H15)/H15)</f>
        <v>-0.99999685422354423</v>
      </c>
      <c r="L15" s="10">
        <f>L11-L13+L7</f>
        <v>0.82999999995809048</v>
      </c>
      <c r="M15" s="1315"/>
      <c r="O15" s="1527">
        <f>IF(L15=0,"0.00%",(P15-L15)/L15)</f>
        <v>-1</v>
      </c>
      <c r="P15" s="10">
        <f>P11-P13+P7</f>
        <v>0</v>
      </c>
      <c r="Q15" s="1315"/>
      <c r="S15" s="83" t="str">
        <f>IF(P15=0,"0.00%",(T15-P15)/P15)</f>
        <v>0.00%</v>
      </c>
      <c r="T15" s="53">
        <f>T11-T13+T7</f>
        <v>0</v>
      </c>
      <c r="U15" s="105"/>
      <c r="W15" s="83" t="str">
        <f>IF(T15=0,"0.00%",(X15-T15)/T15)</f>
        <v>0.00%</v>
      </c>
      <c r="X15" s="53">
        <f>X11-X13+X7</f>
        <v>0</v>
      </c>
      <c r="Y15" s="105"/>
      <c r="AA15" s="83" t="str">
        <f>IF(X15=0,"0.00%",(AB15-X15)/X15)</f>
        <v>0.00%</v>
      </c>
      <c r="AB15" s="53">
        <f>AB11-AB13+AB7</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397">
        <v>0.02</v>
      </c>
      <c r="J19" s="29"/>
      <c r="L19" s="14" t="s">
        <v>48</v>
      </c>
      <c r="M19" s="1397">
        <v>0.02</v>
      </c>
      <c r="P19" s="14" t="s">
        <v>48</v>
      </c>
      <c r="Q19" s="1256">
        <v>0.02</v>
      </c>
      <c r="T19" s="14" t="s">
        <v>48</v>
      </c>
      <c r="U19" s="104">
        <v>0.02</v>
      </c>
      <c r="X19" s="14" t="s">
        <v>48</v>
      </c>
      <c r="Y19" s="104">
        <v>0.02</v>
      </c>
      <c r="AB19" s="14" t="s">
        <v>48</v>
      </c>
      <c r="AC19" s="104">
        <v>0.02</v>
      </c>
    </row>
    <row r="20" spans="1:29" s="13" customFormat="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x14ac:dyDescent="0.25">
      <c r="A21" s="152"/>
      <c r="B21" s="1326">
        <v>1181</v>
      </c>
      <c r="C21" s="1243" t="s">
        <v>284</v>
      </c>
      <c r="D21" s="108">
        <v>20837</v>
      </c>
      <c r="E21" s="1342"/>
      <c r="F21" s="108"/>
      <c r="G21" s="1552">
        <f t="shared" ref="G21:G30" si="1">IF(D21=0,"0.00%",(H21-D21)/D21)</f>
        <v>-0.28108652877093632</v>
      </c>
      <c r="H21" s="491">
        <v>14980</v>
      </c>
      <c r="I21" s="1359" t="s">
        <v>808</v>
      </c>
      <c r="J21" s="66"/>
      <c r="K21" s="1552">
        <f t="shared" ref="K21:K27" si="2">IF(H21=0,"0.00%",(L21-H21)/H21)</f>
        <v>-1</v>
      </c>
      <c r="L21" s="108">
        <v>0</v>
      </c>
      <c r="M21" s="1346"/>
      <c r="O21" s="1527" t="str">
        <f t="shared" ref="O21:O27" si="3">IF(L21=0,"0.00%",(P21-L21)/L21)</f>
        <v>0.00%</v>
      </c>
      <c r="P21" s="2">
        <f>ROUND(L21*(1+Q19),0)</f>
        <v>0</v>
      </c>
      <c r="Q21" s="1257"/>
      <c r="S21" s="83" t="str">
        <f t="shared" ref="S21:S27" si="4">IF(P21=0,"0.00%",(T21-P21)/P21)</f>
        <v>0.00%</v>
      </c>
      <c r="T21" s="2">
        <f>ROUND(P21*(1+U19),0)</f>
        <v>0</v>
      </c>
      <c r="U21" s="36" t="str">
        <f>TEXT(U19,"0.0%")&amp;" = Est. S &amp; C"</f>
        <v>2.0% = Est. S &amp; C</v>
      </c>
      <c r="W21" s="83" t="str">
        <f t="shared" ref="W21:W27" si="5">IF(T21=0,"0.00%",(X21-T21)/T21)</f>
        <v>0.00%</v>
      </c>
      <c r="X21" s="2">
        <f>ROUND(T21*(1+Y19),0)</f>
        <v>0</v>
      </c>
      <c r="Y21" s="36" t="str">
        <f>TEXT(Y19,"0.0%")&amp;" = Est. S &amp; C"</f>
        <v>2.0% = Est. S &amp; C</v>
      </c>
      <c r="AA21" s="83" t="str">
        <f t="shared" ref="AA21:AA27" si="6">IF(X21=0,"0.00%",(AB21-X21)/X21)</f>
        <v>0.00%</v>
      </c>
      <c r="AB21" s="2">
        <f>ROUND(X21*(1+AC19),0)</f>
        <v>0</v>
      </c>
      <c r="AC21" s="36" t="str">
        <f>TEXT(AC19,"0.0%")&amp;" = Est. S &amp; C"</f>
        <v>2.0% = Est. S &amp; C</v>
      </c>
    </row>
    <row r="22" spans="1:29" x14ac:dyDescent="0.25">
      <c r="A22" s="153"/>
      <c r="B22" s="1326">
        <v>1312</v>
      </c>
      <c r="C22" s="1243" t="s">
        <v>729</v>
      </c>
      <c r="D22" s="108">
        <v>69413</v>
      </c>
      <c r="E22" s="1342" t="s">
        <v>734</v>
      </c>
      <c r="F22" s="108"/>
      <c r="G22" s="1552">
        <f t="shared" si="1"/>
        <v>-0.34605909555846887</v>
      </c>
      <c r="H22" s="491">
        <v>45392</v>
      </c>
      <c r="I22" s="1357" t="s">
        <v>755</v>
      </c>
      <c r="J22" s="66"/>
      <c r="K22" s="1552">
        <f t="shared" si="2"/>
        <v>-1</v>
      </c>
      <c r="L22" s="108">
        <v>0</v>
      </c>
      <c r="M22" s="1346"/>
      <c r="O22" s="1527" t="str">
        <f t="shared" si="3"/>
        <v>0.00%</v>
      </c>
      <c r="P22" s="2">
        <f>ROUND(L22*(1+Q19),0)</f>
        <v>0</v>
      </c>
      <c r="Q22" s="1257"/>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3"/>
      <c r="B23" s="1326"/>
      <c r="D23" s="108">
        <v>0</v>
      </c>
      <c r="E23" s="1342"/>
      <c r="F23" s="108"/>
      <c r="G23" s="1552" t="str">
        <f t="shared" si="1"/>
        <v>0.00%</v>
      </c>
      <c r="H23" s="108">
        <f t="shared" ref="H23:H27" si="7">ROUND(D23*(1+$I$19),0)</f>
        <v>0</v>
      </c>
      <c r="I23" s="1346" t="str">
        <f t="shared" ref="I23:I28" si="8">TEXT($I$19,"0.0%")&amp;" = Est. S &amp; C"</f>
        <v>2.0% = Est. S &amp; C</v>
      </c>
      <c r="J23" s="66"/>
      <c r="K23" s="1552" t="str">
        <f t="shared" si="2"/>
        <v>0.00%</v>
      </c>
      <c r="L23" s="108">
        <f>ROUND(H23*(1+M19),0)</f>
        <v>0</v>
      </c>
      <c r="M23" s="1346" t="str">
        <f>TEXT(M19,"0.0%")&amp;" = Est. S &amp; C"</f>
        <v>2.0% = Est. S &amp; C</v>
      </c>
      <c r="O23" s="1527" t="str">
        <f t="shared" si="3"/>
        <v>0.00%</v>
      </c>
      <c r="P23" s="2">
        <f>ROUND(L23*(1+Q19),0)</f>
        <v>0</v>
      </c>
      <c r="Q23" s="1257"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3"/>
      <c r="B24" s="1326"/>
      <c r="D24" s="108">
        <v>0</v>
      </c>
      <c r="E24" s="1342"/>
      <c r="F24" s="108"/>
      <c r="G24" s="1552" t="str">
        <f t="shared" si="1"/>
        <v>0.00%</v>
      </c>
      <c r="H24" s="108">
        <f t="shared" si="7"/>
        <v>0</v>
      </c>
      <c r="I24" s="1346" t="str">
        <f t="shared" si="8"/>
        <v>2.0% = Est. S &amp; C</v>
      </c>
      <c r="J24" s="66"/>
      <c r="K24" s="1552" t="str">
        <f t="shared" si="2"/>
        <v>0.00%</v>
      </c>
      <c r="L24" s="108">
        <f>ROUND(H24*(1+M19),0)</f>
        <v>0</v>
      </c>
      <c r="M24" s="1346" t="str">
        <f>TEXT(M19,"0.0%")&amp;" = Est. S &amp; C"</f>
        <v>2.0% = Est. S &amp; C</v>
      </c>
      <c r="O24" s="1527" t="str">
        <f t="shared" si="3"/>
        <v>0.00%</v>
      </c>
      <c r="P24" s="2">
        <f>ROUND(L24*(1+Q19),0)</f>
        <v>0</v>
      </c>
      <c r="Q24" s="125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3"/>
      <c r="B25" s="1326"/>
      <c r="D25" s="108">
        <v>0</v>
      </c>
      <c r="E25" s="1342"/>
      <c r="F25" s="108"/>
      <c r="G25" s="1552" t="str">
        <f t="shared" si="1"/>
        <v>0.00%</v>
      </c>
      <c r="H25" s="108">
        <f t="shared" si="7"/>
        <v>0</v>
      </c>
      <c r="I25" s="1346" t="str">
        <f t="shared" si="8"/>
        <v>2.0% = Est. S &amp; C</v>
      </c>
      <c r="J25" s="66"/>
      <c r="K25" s="1552" t="str">
        <f t="shared" si="2"/>
        <v>0.00%</v>
      </c>
      <c r="L25" s="108">
        <f>ROUND(H25*(1+M19),0)</f>
        <v>0</v>
      </c>
      <c r="M25" s="1346" t="str">
        <f>TEXT(M19,"0.0%")&amp;" = Est. S &amp; C"</f>
        <v>2.0% = Est. S &amp; C</v>
      </c>
      <c r="O25" s="1527" t="str">
        <f t="shared" si="3"/>
        <v>0.00%</v>
      </c>
      <c r="P25" s="2">
        <f>ROUND(L25*(1+Q19),0)</f>
        <v>0</v>
      </c>
      <c r="Q25" s="125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3"/>
      <c r="B26" s="1326"/>
      <c r="D26" s="108">
        <v>0</v>
      </c>
      <c r="E26" s="1342"/>
      <c r="F26" s="108"/>
      <c r="G26" s="1552" t="str">
        <f t="shared" si="1"/>
        <v>0.00%</v>
      </c>
      <c r="H26" s="108">
        <f t="shared" si="7"/>
        <v>0</v>
      </c>
      <c r="I26" s="1346" t="str">
        <f t="shared" si="8"/>
        <v>2.0% = Est. S &amp; C</v>
      </c>
      <c r="J26" s="66"/>
      <c r="K26" s="1552" t="str">
        <f t="shared" si="2"/>
        <v>0.00%</v>
      </c>
      <c r="L26" s="108">
        <f>ROUND(H26*(1+M19),0)</f>
        <v>0</v>
      </c>
      <c r="M26" s="1346" t="str">
        <f>TEXT(M19,"0.0%")&amp;" = Est. S &amp; C"</f>
        <v>2.0% = Est. S &amp; C</v>
      </c>
      <c r="O26" s="1527" t="str">
        <f t="shared" si="3"/>
        <v>0.00%</v>
      </c>
      <c r="P26" s="2">
        <f>ROUND(L26*(1+Q19),0)</f>
        <v>0</v>
      </c>
      <c r="Q26" s="125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3"/>
      <c r="B27" s="1326"/>
      <c r="D27" s="108">
        <v>0</v>
      </c>
      <c r="E27" s="1342"/>
      <c r="F27" s="108"/>
      <c r="G27" s="1552" t="str">
        <f t="shared" si="1"/>
        <v>0.00%</v>
      </c>
      <c r="H27" s="108">
        <f t="shared" si="7"/>
        <v>0</v>
      </c>
      <c r="I27" s="1346" t="str">
        <f t="shared" si="8"/>
        <v>2.0% = Est. S &amp; C</v>
      </c>
      <c r="J27" s="66"/>
      <c r="K27" s="1552" t="str">
        <f t="shared" si="2"/>
        <v>0.00%</v>
      </c>
      <c r="L27" s="108">
        <f>ROUND(H27*(1+M19),0)</f>
        <v>0</v>
      </c>
      <c r="M27" s="1346" t="str">
        <f>TEXT(M19,"0.0%")&amp;" = Est. S &amp; C"</f>
        <v>2.0% = Est. S &amp; C</v>
      </c>
      <c r="O27" s="1527" t="str">
        <f t="shared" si="3"/>
        <v>0.00%</v>
      </c>
      <c r="P27" s="2">
        <f>ROUND(L27*(1+Q19),0)</f>
        <v>0</v>
      </c>
      <c r="Q27" s="1257"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3"/>
      <c r="B28" s="1326"/>
      <c r="D28" s="108">
        <v>0</v>
      </c>
      <c r="E28" s="1342"/>
      <c r="F28" s="108"/>
      <c r="G28" s="1552" t="str">
        <f>IF(D28=0,"0.00%",(H28-D28)/D28)</f>
        <v>0.00%</v>
      </c>
      <c r="H28" s="108">
        <f>ROUND(D28*(1+$I$19),0)</f>
        <v>0</v>
      </c>
      <c r="I28" s="1346" t="str">
        <f t="shared" si="8"/>
        <v>2.0% = Est. S &amp; C</v>
      </c>
      <c r="J28" s="66"/>
      <c r="K28" s="1552" t="str">
        <f>IF(H28=0,"0.00%",(L28-H28)/H28)</f>
        <v>0.00%</v>
      </c>
      <c r="L28" s="108">
        <f>ROUND(H28*(1+M20),0)</f>
        <v>0</v>
      </c>
      <c r="M28" s="1346"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D29" s="108"/>
      <c r="E29" s="1342"/>
      <c r="F29" s="108"/>
      <c r="G29" s="1552"/>
      <c r="H29" s="108"/>
      <c r="I29" s="1346"/>
      <c r="J29" s="66"/>
      <c r="K29" s="1572"/>
      <c r="L29" s="108"/>
      <c r="M29" s="1354"/>
      <c r="Q29" s="1335"/>
      <c r="T29" s="2"/>
      <c r="U29" s="73"/>
      <c r="X29" s="2"/>
      <c r="Y29" s="73"/>
      <c r="AB29" s="2"/>
      <c r="AC29" s="73"/>
    </row>
    <row r="30" spans="1:29" x14ac:dyDescent="0.25">
      <c r="A30" s="154"/>
      <c r="B30" s="1326"/>
      <c r="D30" s="122">
        <f>SUM(D21:D29)</f>
        <v>90250</v>
      </c>
      <c r="E30" s="1342"/>
      <c r="F30" s="108"/>
      <c r="G30" s="1552">
        <f t="shared" si="1"/>
        <v>-0.33105817174515234</v>
      </c>
      <c r="H30" s="122">
        <f>SUM(H21:H29)</f>
        <v>60372</v>
      </c>
      <c r="I30" s="1882">
        <f>+H30-D30</f>
        <v>-29878</v>
      </c>
      <c r="J30" s="29"/>
      <c r="K30" s="1552">
        <f>IF(H30=0,"0.00%",(L30-H30)/H30)</f>
        <v>-1</v>
      </c>
      <c r="L30" s="122">
        <f>SUM(L21:L29)</f>
        <v>0</v>
      </c>
      <c r="M30" s="1882">
        <f>+L30-H30</f>
        <v>-60372</v>
      </c>
      <c r="O30" s="1527" t="str">
        <f>IF(L30=0,"0.00%",(P30-L30)/L30)</f>
        <v>0.00%</v>
      </c>
      <c r="P30" s="8">
        <f>SUM(P21:P29)</f>
        <v>0</v>
      </c>
      <c r="Q30" s="1882">
        <f>+P30-L30</f>
        <v>0</v>
      </c>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3"/>
      <c r="D31" s="108"/>
      <c r="E31" s="1342"/>
      <c r="F31" s="108"/>
      <c r="G31" s="1553"/>
      <c r="H31" s="108"/>
      <c r="I31" s="1347" t="s">
        <v>811</v>
      </c>
      <c r="J31" s="66"/>
      <c r="K31" s="1572"/>
      <c r="L31" s="108"/>
      <c r="M31" s="1355"/>
      <c r="Q31" s="1336"/>
      <c r="T31" s="2"/>
      <c r="U31" s="73"/>
      <c r="X31" s="2"/>
      <c r="Y31" s="73"/>
      <c r="AB31" s="2"/>
      <c r="AC31" s="73"/>
    </row>
    <row r="32" spans="1:29" s="4" customFormat="1" x14ac:dyDescent="0.25">
      <c r="A32" s="151"/>
      <c r="B32" s="1327" t="s">
        <v>35</v>
      </c>
      <c r="C32" s="1259"/>
      <c r="D32" s="57"/>
      <c r="E32" s="1343"/>
      <c r="F32" s="57"/>
      <c r="G32" s="1554"/>
      <c r="H32" s="57"/>
      <c r="I32" s="1344" t="s">
        <v>812</v>
      </c>
      <c r="J32" s="57"/>
      <c r="K32" s="1573"/>
      <c r="L32" s="57"/>
      <c r="M32" s="1356"/>
      <c r="O32" s="1571"/>
      <c r="P32" s="6"/>
      <c r="Q32" s="1337"/>
      <c r="R32" s="111"/>
      <c r="T32" s="6"/>
      <c r="U32" s="71"/>
      <c r="X32" s="6"/>
      <c r="Y32" s="71"/>
      <c r="AB32" s="6"/>
      <c r="AC32" s="71"/>
    </row>
    <row r="33" spans="1:29" hidden="1" x14ac:dyDescent="0.25">
      <c r="A33" s="153"/>
      <c r="B33" s="1326"/>
      <c r="D33" s="108">
        <v>0</v>
      </c>
      <c r="E33" s="1342"/>
      <c r="F33" s="108"/>
      <c r="G33" s="1552" t="str">
        <f t="shared" ref="G33:G39" si="9">IF(D33=0,"0.00%",(H33-D33)/D33)</f>
        <v>0.00%</v>
      </c>
      <c r="H33" s="108">
        <f t="shared" ref="H33:H39" si="10">ROUND(D33*(1+$I$19),0)</f>
        <v>0</v>
      </c>
      <c r="I33" s="1346" t="str">
        <f t="shared" ref="I33:I39" si="11">TEXT($I$19,"0.0%")&amp;" = Est. S &amp; C"</f>
        <v>2.0% = Est. S &amp; C</v>
      </c>
      <c r="J33" s="66"/>
      <c r="K33" s="1552" t="str">
        <f t="shared" ref="K33:K39" si="12">IF(H33=0,"0.00%",(L33-H33)/H33)</f>
        <v>0.00%</v>
      </c>
      <c r="L33" s="108">
        <f>ROUND(H33*(1+M19),0)</f>
        <v>0</v>
      </c>
      <c r="M33" s="1346"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D34" s="108">
        <v>0</v>
      </c>
      <c r="E34" s="1342"/>
      <c r="F34" s="108"/>
      <c r="G34" s="1552" t="str">
        <f t="shared" si="9"/>
        <v>0.00%</v>
      </c>
      <c r="H34" s="108">
        <f t="shared" si="10"/>
        <v>0</v>
      </c>
      <c r="I34" s="1346" t="str">
        <f t="shared" si="11"/>
        <v>2.0% = Est. S &amp; C</v>
      </c>
      <c r="J34" s="66"/>
      <c r="K34" s="1552" t="str">
        <f t="shared" si="12"/>
        <v>0.00%</v>
      </c>
      <c r="L34" s="108">
        <f>ROUND(H34*(1+M19),0)</f>
        <v>0</v>
      </c>
      <c r="M34" s="1346" t="str">
        <f>TEXT(M19,"0.0%")&amp;" = Est. S &amp; C"</f>
        <v>2.0% = Est. S &amp; C</v>
      </c>
      <c r="O34" s="1527" t="str">
        <f t="shared" si="13"/>
        <v>0.00%</v>
      </c>
      <c r="P34" s="2">
        <f>ROUND(L34*(1+Q19),0)</f>
        <v>0</v>
      </c>
      <c r="Q34" s="125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D35" s="108">
        <v>0</v>
      </c>
      <c r="E35" s="1342"/>
      <c r="F35" s="108"/>
      <c r="G35" s="1552" t="str">
        <f t="shared" si="9"/>
        <v>0.00%</v>
      </c>
      <c r="H35" s="108">
        <f t="shared" si="10"/>
        <v>0</v>
      </c>
      <c r="I35" s="1346" t="str">
        <f t="shared" si="11"/>
        <v>2.0% = Est. S &amp; C</v>
      </c>
      <c r="J35" s="66"/>
      <c r="K35" s="1552" t="str">
        <f t="shared" si="12"/>
        <v>0.00%</v>
      </c>
      <c r="L35" s="108">
        <f>ROUND(H35*(1+M19),0)</f>
        <v>0</v>
      </c>
      <c r="M35" s="1346" t="str">
        <f>TEXT(M19,"0.0%")&amp;" = Est. S &amp; C"</f>
        <v>2.0% = Est. S &amp; C</v>
      </c>
      <c r="O35" s="1527" t="str">
        <f t="shared" si="13"/>
        <v>0.00%</v>
      </c>
      <c r="P35" s="2">
        <f>ROUND(L35*(1+Q19),0)</f>
        <v>0</v>
      </c>
      <c r="Q35" s="125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D36" s="108">
        <v>0</v>
      </c>
      <c r="E36" s="1342"/>
      <c r="F36" s="108"/>
      <c r="G36" s="1552" t="str">
        <f t="shared" si="9"/>
        <v>0.00%</v>
      </c>
      <c r="H36" s="108">
        <f t="shared" si="10"/>
        <v>0</v>
      </c>
      <c r="I36" s="1346" t="str">
        <f t="shared" si="11"/>
        <v>2.0% = Est. S &amp; C</v>
      </c>
      <c r="J36" s="66"/>
      <c r="K36" s="1552" t="str">
        <f t="shared" si="12"/>
        <v>0.00%</v>
      </c>
      <c r="L36" s="108">
        <f>ROUND(H36*(1+M19),0)</f>
        <v>0</v>
      </c>
      <c r="M36" s="1346" t="str">
        <f>TEXT(M19,"0.0%")&amp;" = Est. S &amp; C"</f>
        <v>2.0% = Est. S &amp; C</v>
      </c>
      <c r="O36" s="1527" t="str">
        <f t="shared" si="13"/>
        <v>0.00%</v>
      </c>
      <c r="P36" s="2">
        <f>ROUND(L36*(1+Q19),0)</f>
        <v>0</v>
      </c>
      <c r="Q36" s="125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D37" s="108">
        <v>0</v>
      </c>
      <c r="E37" s="1342"/>
      <c r="F37" s="108"/>
      <c r="G37" s="1552" t="str">
        <f t="shared" si="9"/>
        <v>0.00%</v>
      </c>
      <c r="H37" s="108">
        <f t="shared" si="10"/>
        <v>0</v>
      </c>
      <c r="I37" s="1346" t="str">
        <f t="shared" si="11"/>
        <v>2.0% = Est. S &amp; C</v>
      </c>
      <c r="J37" s="66"/>
      <c r="K37" s="1552" t="str">
        <f t="shared" si="12"/>
        <v>0.00%</v>
      </c>
      <c r="L37" s="108">
        <f>ROUND(H37*(1+M19),0)</f>
        <v>0</v>
      </c>
      <c r="M37" s="1346" t="str">
        <f>TEXT(M19,"0.0%")&amp;" = Est. S &amp; C"</f>
        <v>2.0% = Est. S &amp; C</v>
      </c>
      <c r="O37" s="1527" t="str">
        <f t="shared" si="13"/>
        <v>0.00%</v>
      </c>
      <c r="P37" s="2">
        <f>ROUND(L37*(1+Q19),0)</f>
        <v>0</v>
      </c>
      <c r="Q37" s="125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D38" s="108">
        <v>0</v>
      </c>
      <c r="E38" s="1342"/>
      <c r="F38" s="108"/>
      <c r="G38" s="1552" t="str">
        <f t="shared" si="9"/>
        <v>0.00%</v>
      </c>
      <c r="H38" s="108">
        <f t="shared" si="10"/>
        <v>0</v>
      </c>
      <c r="I38" s="1346" t="str">
        <f t="shared" si="11"/>
        <v>2.0% = Est. S &amp; C</v>
      </c>
      <c r="J38" s="66"/>
      <c r="K38" s="1552" t="str">
        <f t="shared" si="12"/>
        <v>0.00%</v>
      </c>
      <c r="L38" s="108">
        <f>ROUND(H38*(1+M19),0)</f>
        <v>0</v>
      </c>
      <c r="M38" s="1346" t="str">
        <f>TEXT(M19,"0.0%")&amp;" = Est. S &amp; C"</f>
        <v>2.0% = Est. S &amp; C</v>
      </c>
      <c r="O38" s="1527" t="str">
        <f t="shared" si="13"/>
        <v>0.00%</v>
      </c>
      <c r="P38" s="2">
        <f>ROUND(L38*(1+Q19),0)</f>
        <v>0</v>
      </c>
      <c r="Q38" s="125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108">
        <v>0</v>
      </c>
      <c r="E39" s="1342"/>
      <c r="F39" s="108"/>
      <c r="G39" s="1552" t="str">
        <f t="shared" si="9"/>
        <v>0.00%</v>
      </c>
      <c r="H39" s="108">
        <f t="shared" si="10"/>
        <v>0</v>
      </c>
      <c r="I39" s="1346" t="str">
        <f t="shared" si="11"/>
        <v>2.0% = Est. S &amp; C</v>
      </c>
      <c r="J39" s="66"/>
      <c r="K39" s="1552" t="str">
        <f t="shared" si="12"/>
        <v>0.00%</v>
      </c>
      <c r="L39" s="108">
        <f>ROUND(H39*(1+M19),0)</f>
        <v>0</v>
      </c>
      <c r="M39" s="1346" t="str">
        <f>TEXT(M19,"0.0%")&amp;" = Est. S &amp; C"</f>
        <v>2.0% = Est. S &amp; C</v>
      </c>
      <c r="O39" s="1527" t="str">
        <f t="shared" si="13"/>
        <v>0.00%</v>
      </c>
      <c r="P39" s="2">
        <f>ROUND(L39*(1+Q19),0)</f>
        <v>0</v>
      </c>
      <c r="Q39" s="125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D40" s="108"/>
      <c r="E40" s="1342"/>
      <c r="F40" s="108"/>
      <c r="G40" s="1553"/>
      <c r="H40" s="108"/>
      <c r="I40" s="1346"/>
      <c r="J40" s="66"/>
      <c r="K40" s="1572"/>
      <c r="L40" s="108"/>
      <c r="M40" s="1354"/>
      <c r="Q40" s="1335"/>
      <c r="T40" s="2"/>
      <c r="U40" s="73"/>
      <c r="X40" s="2"/>
      <c r="Y40" s="73"/>
      <c r="AB40" s="2"/>
      <c r="AC40" s="73"/>
    </row>
    <row r="41" spans="1:29" x14ac:dyDescent="0.25">
      <c r="A41" s="154"/>
      <c r="B41" s="1326"/>
      <c r="D41" s="122">
        <f>SUM(D33:D40)</f>
        <v>0</v>
      </c>
      <c r="E41" s="1342"/>
      <c r="F41" s="108"/>
      <c r="G41" s="1552" t="str">
        <f>IF(D41=0,"0.00%",(H41-D41)/D41)</f>
        <v>0.00%</v>
      </c>
      <c r="H41" s="122">
        <f>SUM(H33:H40)</f>
        <v>0</v>
      </c>
      <c r="I41" s="1348"/>
      <c r="J41" s="29"/>
      <c r="K41" s="1552" t="str">
        <f>IF(H41=0,"0.00%",(L41-H41)/H41)</f>
        <v>0.00%</v>
      </c>
      <c r="L41" s="122">
        <f>SUM(L33:L40)</f>
        <v>0</v>
      </c>
      <c r="M41" s="1354"/>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3"/>
      <c r="B42" s="1317" t="s">
        <v>28</v>
      </c>
      <c r="D42" s="108"/>
      <c r="E42" s="1342"/>
      <c r="F42" s="108"/>
      <c r="G42" s="1553"/>
      <c r="H42" s="108"/>
      <c r="I42" s="1346"/>
      <c r="J42" s="66"/>
      <c r="K42" s="1572"/>
      <c r="L42" s="108"/>
      <c r="M42" s="1354"/>
      <c r="Q42" s="1335"/>
      <c r="T42" s="2"/>
      <c r="U42" s="73"/>
      <c r="X42" s="2"/>
      <c r="Y42" s="73"/>
      <c r="AB42" s="2"/>
      <c r="AC42" s="73"/>
    </row>
    <row r="43" spans="1:29" x14ac:dyDescent="0.25">
      <c r="A43" s="155"/>
      <c r="B43" s="1323" t="s">
        <v>27</v>
      </c>
      <c r="D43" s="108"/>
      <c r="E43" s="1342"/>
      <c r="F43" s="108"/>
      <c r="G43" s="1553"/>
      <c r="H43" s="108"/>
      <c r="I43" s="1346"/>
      <c r="J43" s="66"/>
      <c r="K43" s="1572"/>
      <c r="L43" s="108"/>
      <c r="M43" s="1354"/>
      <c r="Q43" s="1335"/>
      <c r="T43" s="2"/>
      <c r="U43" s="73"/>
      <c r="X43" s="2"/>
      <c r="Y43" s="73"/>
      <c r="AB43" s="2"/>
      <c r="AC43" s="73"/>
    </row>
    <row r="44" spans="1:29" x14ac:dyDescent="0.25">
      <c r="A44" s="153"/>
      <c r="B44" s="1326" t="s">
        <v>83</v>
      </c>
      <c r="C44" s="1243" t="s">
        <v>76</v>
      </c>
      <c r="D44" s="108">
        <v>8032</v>
      </c>
      <c r="E44" s="1344" t="str">
        <f>TEXT('MYP Assumptions'!$D$52,"0.00%")&amp;", STRS rate"</f>
        <v>12.58%, STRS rate</v>
      </c>
      <c r="F44" s="108"/>
      <c r="G44" s="1552">
        <f t="shared" ref="G44:G53" si="17">IF(D44=0,"0.00%",(H44-D44)/D44)</f>
        <v>8.4661354581673301E-2</v>
      </c>
      <c r="H44" s="108">
        <v>8712</v>
      </c>
      <c r="I44" s="1344" t="str">
        <f>TEXT('MYP Assumptions'!E52,"0.00%")&amp;", projected STRS rate"</f>
        <v>14.43%, projected STRS rate</v>
      </c>
      <c r="J44" s="66"/>
      <c r="K44" s="1552">
        <f t="shared" ref="K44:K53" si="18">IF(H44=0,"0.00%",(L44-H44)/H44)</f>
        <v>-1</v>
      </c>
      <c r="L44" s="108">
        <f>ROUND(L30*LEFT(M44,6),0)</f>
        <v>0</v>
      </c>
      <c r="M44" s="1344"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x14ac:dyDescent="0.25">
      <c r="A45" s="153"/>
      <c r="B45" s="1326" t="s">
        <v>84</v>
      </c>
      <c r="C45" s="1243" t="s">
        <v>77</v>
      </c>
      <c r="D45" s="108">
        <v>0</v>
      </c>
      <c r="E45" s="1344" t="str">
        <f>TEXT('MYP Assumptions'!$D$53,"0.00%")&amp;", PERS rate"</f>
        <v>13.89%, PERS rate</v>
      </c>
      <c r="F45" s="108"/>
      <c r="G45" s="1552" t="str">
        <f t="shared" si="17"/>
        <v>0.00%</v>
      </c>
      <c r="H45" s="108">
        <f>ROUND(H41*LEFT(I45,6),0)</f>
        <v>0</v>
      </c>
      <c r="I45" s="1344" t="str">
        <f>TEXT('MYP Assumptions'!E53,"0.00%")&amp;", projected PERS rate"</f>
        <v>15.53%, projected PERS rate</v>
      </c>
      <c r="J45" s="66"/>
      <c r="K45" s="1552" t="str">
        <f t="shared" si="18"/>
        <v>0.00%</v>
      </c>
      <c r="L45" s="108">
        <f>ROUND(L41*LEFT(M45,6),0)</f>
        <v>0</v>
      </c>
      <c r="M45" s="1344"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x14ac:dyDescent="0.25">
      <c r="A46" s="153"/>
      <c r="B46" s="1326" t="s">
        <v>85</v>
      </c>
      <c r="C46" s="1243" t="s">
        <v>78</v>
      </c>
      <c r="D46" s="108">
        <v>189</v>
      </c>
      <c r="E46" s="1344" t="str">
        <f>TEXT('MYP Assumptions'!$D$54,"0.00%")&amp;", SS rate"</f>
        <v>6.20%, SS rate</v>
      </c>
      <c r="F46" s="108"/>
      <c r="G46" s="1552">
        <f t="shared" si="17"/>
        <v>-1</v>
      </c>
      <c r="H46" s="108">
        <v>0</v>
      </c>
      <c r="I46" s="1344" t="str">
        <f>TEXT('MYP Assumptions'!E54,"0.00%")&amp;", no rate change"</f>
        <v>6.20%, no rate change</v>
      </c>
      <c r="J46" s="66"/>
      <c r="K46" s="1552" t="str">
        <f t="shared" si="18"/>
        <v>0.00%</v>
      </c>
      <c r="L46" s="108">
        <f>ROUND(L41*LEFT(M46,5),0)</f>
        <v>0</v>
      </c>
      <c r="M46" s="1344" t="str">
        <f>TEXT('MYP Assumptions'!F54,"0.00%")&amp;", no rate change"</f>
        <v>6.20%, no rate change</v>
      </c>
      <c r="O46" s="1527" t="str">
        <f t="shared" si="19"/>
        <v>0.00%</v>
      </c>
      <c r="P46" s="2">
        <f>+L46</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x14ac:dyDescent="0.25">
      <c r="A47" s="153"/>
      <c r="B47" s="1326" t="s">
        <v>86</v>
      </c>
      <c r="C47" s="1243" t="s">
        <v>79</v>
      </c>
      <c r="D47" s="108">
        <v>966</v>
      </c>
      <c r="E47" s="1344" t="str">
        <f>TEXT('MYP Assumptions'!$D$55,"0.00%")&amp;", Medicare rate"</f>
        <v>1.45%, Medicare rate</v>
      </c>
      <c r="F47" s="108"/>
      <c r="G47" s="1552">
        <f t="shared" si="17"/>
        <v>-7.8674948240165632E-2</v>
      </c>
      <c r="H47" s="108">
        <v>890</v>
      </c>
      <c r="I47" s="1344" t="str">
        <f>TEXT('MYP Assumptions'!E55,"0.00%")&amp;", no rate change"</f>
        <v>1.45%, no rate change</v>
      </c>
      <c r="J47" s="66"/>
      <c r="K47" s="1552">
        <f t="shared" si="18"/>
        <v>-1</v>
      </c>
      <c r="L47" s="108">
        <f>ROUND((L41+L30)*LEFT(M47,5),0)</f>
        <v>0</v>
      </c>
      <c r="M47" s="1344"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x14ac:dyDescent="0.25">
      <c r="A48" s="153"/>
      <c r="B48" s="1326" t="s">
        <v>87</v>
      </c>
      <c r="C48" s="1243" t="s">
        <v>80</v>
      </c>
      <c r="D48" s="108">
        <v>7045</v>
      </c>
      <c r="E48" s="1344"/>
      <c r="F48" s="108"/>
      <c r="G48" s="1552">
        <f t="shared" si="17"/>
        <v>6.9552874378992199E-2</v>
      </c>
      <c r="H48" s="491">
        <v>7535</v>
      </c>
      <c r="I48" s="1344" t="str">
        <f>TEXT('MYP Assumptions'!$M$62,"0.00%")&amp;", projected increase"</f>
        <v>7.00%, projected increase</v>
      </c>
      <c r="J48" s="66"/>
      <c r="K48" s="1552">
        <f t="shared" si="18"/>
        <v>-1</v>
      </c>
      <c r="L48" s="108">
        <v>0</v>
      </c>
      <c r="M48" s="1344"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x14ac:dyDescent="0.25">
      <c r="A49" s="153"/>
      <c r="B49" s="1326" t="s">
        <v>88</v>
      </c>
      <c r="C49" s="1243" t="s">
        <v>81</v>
      </c>
      <c r="D49" s="108">
        <v>34</v>
      </c>
      <c r="E49" s="1344" t="str">
        <f>TEXT('MYP Assumptions'!$D$56,"0.00%")&amp;", SUI rate"</f>
        <v>0.05%, SUI rate</v>
      </c>
      <c r="F49" s="108"/>
      <c r="G49" s="1552">
        <f t="shared" si="17"/>
        <v>-8.8235294117647065E-2</v>
      </c>
      <c r="H49" s="108">
        <v>31</v>
      </c>
      <c r="I49" s="1344" t="str">
        <f>TEXT('MYP Assumptions'!E56,"0.00%")&amp;", no rate change"</f>
        <v>0.05%, no rate change</v>
      </c>
      <c r="J49" s="66"/>
      <c r="K49" s="1552">
        <f t="shared" si="18"/>
        <v>-1</v>
      </c>
      <c r="L49" s="108">
        <f>ROUND((L41+L30)*LEFT(M49,5),0)</f>
        <v>0</v>
      </c>
      <c r="M49" s="1344"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x14ac:dyDescent="0.25">
      <c r="A50" s="153"/>
      <c r="B50" s="1326" t="s">
        <v>89</v>
      </c>
      <c r="C50" s="1243" t="s">
        <v>82</v>
      </c>
      <c r="D50" s="108">
        <v>745</v>
      </c>
      <c r="E50" s="1344" t="str">
        <f>TEXT('MYP Assumptions'!$D$57,"0.00%")&amp;", W/C rate"</f>
        <v>1.10%, W/C rate</v>
      </c>
      <c r="F50" s="108"/>
      <c r="G50" s="1552">
        <f t="shared" si="17"/>
        <v>-9.3959731543624164E-2</v>
      </c>
      <c r="H50" s="108">
        <v>675</v>
      </c>
      <c r="I50" s="1344" t="str">
        <f>TEXT('MYP Assumptions'!E57,"0.00%")&amp;", no rate change"</f>
        <v>1.10%, no rate change</v>
      </c>
      <c r="J50" s="66"/>
      <c r="K50" s="1552">
        <f t="shared" si="18"/>
        <v>-1</v>
      </c>
      <c r="L50" s="108">
        <f>ROUND((L41+L30)*LEFT(M50,5),0)</f>
        <v>0</v>
      </c>
      <c r="M50" s="1344"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x14ac:dyDescent="0.25">
      <c r="A51" s="153"/>
      <c r="B51" s="1326" t="s">
        <v>91</v>
      </c>
      <c r="C51" s="1243" t="s">
        <v>93</v>
      </c>
      <c r="D51" s="108">
        <v>1100</v>
      </c>
      <c r="E51" s="1342"/>
      <c r="F51" s="108"/>
      <c r="G51" s="1552">
        <f t="shared" ref="G51" si="23">IF(D51=0,"0.00%",(H51-D51)/D51)</f>
        <v>-9.0909090909090912E-2</v>
      </c>
      <c r="H51" s="108">
        <v>1000</v>
      </c>
      <c r="I51" s="1344" t="s">
        <v>166</v>
      </c>
      <c r="J51" s="66"/>
      <c r="K51" s="1552">
        <f t="shared" ref="K51" si="24">IF(H51=0,"0.00%",(L51-H51)/H51)</f>
        <v>-1</v>
      </c>
      <c r="L51" s="108">
        <v>0</v>
      </c>
      <c r="M51" s="1344" t="s">
        <v>166</v>
      </c>
      <c r="O51" s="1527" t="str">
        <f t="shared" ref="O51" si="25">IF(L51=0,"0.00%",(P51-L51)/L51)</f>
        <v>0.00%</v>
      </c>
      <c r="P51" s="2">
        <f>L51</f>
        <v>0</v>
      </c>
      <c r="Q51" s="1240" t="s">
        <v>166</v>
      </c>
      <c r="S51" s="83" t="str">
        <f t="shared" ref="S51" si="26">IF(P51=0,"0.00%",(T51-P51)/P51)</f>
        <v>0.00%</v>
      </c>
      <c r="T51" s="2">
        <f>P51</f>
        <v>0</v>
      </c>
      <c r="U51" s="81" t="s">
        <v>166</v>
      </c>
      <c r="W51" s="83" t="str">
        <f t="shared" ref="W51" si="27">IF(T51=0,"0.00%",(X51-T51)/T51)</f>
        <v>0.00%</v>
      </c>
      <c r="X51" s="2">
        <f>T51</f>
        <v>0</v>
      </c>
      <c r="Y51" s="81" t="s">
        <v>166</v>
      </c>
      <c r="AA51" s="83" t="str">
        <f t="shared" ref="AA51" si="28">IF(X51=0,"0.00%",(AB51-X51)/X51)</f>
        <v>0.00%</v>
      </c>
      <c r="AB51" s="2">
        <f>X51</f>
        <v>0</v>
      </c>
      <c r="AC51" s="81" t="s">
        <v>166</v>
      </c>
    </row>
    <row r="52" spans="1:29" x14ac:dyDescent="0.25">
      <c r="A52" s="153"/>
      <c r="B52" s="1326"/>
      <c r="D52" s="108"/>
      <c r="E52" s="1342"/>
      <c r="F52" s="108"/>
      <c r="G52" s="1552"/>
      <c r="H52" s="108"/>
      <c r="I52" s="1344"/>
      <c r="J52" s="66"/>
      <c r="K52" s="1552"/>
      <c r="L52" s="108"/>
      <c r="M52" s="1344"/>
      <c r="O52" s="1527"/>
      <c r="Q52" s="1240"/>
      <c r="S52" s="83"/>
      <c r="T52" s="2"/>
      <c r="U52" s="81"/>
      <c r="W52" s="83"/>
      <c r="X52" s="2"/>
      <c r="Y52" s="81"/>
      <c r="AA52" s="83"/>
      <c r="AB52" s="2"/>
      <c r="AC52" s="81"/>
    </row>
    <row r="53" spans="1:29" x14ac:dyDescent="0.25">
      <c r="A53" s="154"/>
      <c r="B53" s="1326"/>
      <c r="D53" s="122">
        <f>SUM(D44:D52)</f>
        <v>18111</v>
      </c>
      <c r="E53" s="1342"/>
      <c r="F53" s="108"/>
      <c r="G53" s="1552">
        <f t="shared" si="17"/>
        <v>4.0417425873778369E-2</v>
      </c>
      <c r="H53" s="122">
        <f>SUM(H44:H52)</f>
        <v>18843</v>
      </c>
      <c r="I53" s="1882">
        <f>+H53-D53</f>
        <v>732</v>
      </c>
      <c r="J53" s="29"/>
      <c r="K53" s="1552">
        <f t="shared" si="18"/>
        <v>-1</v>
      </c>
      <c r="L53" s="122">
        <f>SUM(L44:L52)</f>
        <v>0</v>
      </c>
      <c r="M53" s="1882">
        <f>+L53-H53</f>
        <v>-18843</v>
      </c>
      <c r="O53" s="1527" t="str">
        <f t="shared" si="19"/>
        <v>0.00%</v>
      </c>
      <c r="P53" s="8">
        <f>SUM(P44:P52)</f>
        <v>0</v>
      </c>
      <c r="Q53" s="1882">
        <f>+P53-L53</f>
        <v>0</v>
      </c>
      <c r="S53" s="83" t="str">
        <f t="shared" si="20"/>
        <v>0.00%</v>
      </c>
      <c r="T53" s="8">
        <f>SUM(T44:T52)</f>
        <v>0</v>
      </c>
      <c r="U53" s="73"/>
      <c r="W53" s="83" t="str">
        <f t="shared" si="21"/>
        <v>0.00%</v>
      </c>
      <c r="X53" s="8">
        <f>SUM(X44:X52)</f>
        <v>0</v>
      </c>
      <c r="Y53" s="73"/>
      <c r="AA53" s="83" t="str">
        <f t="shared" si="22"/>
        <v>0.00%</v>
      </c>
      <c r="AB53" s="8">
        <f>SUM(AB44:AB52)</f>
        <v>0</v>
      </c>
      <c r="AC53" s="73"/>
    </row>
    <row r="54" spans="1:29" x14ac:dyDescent="0.25">
      <c r="A54" s="155"/>
      <c r="B54" s="1326"/>
      <c r="D54" s="108"/>
      <c r="E54" s="1342"/>
      <c r="F54" s="108"/>
      <c r="G54" s="1553"/>
      <c r="H54" s="108"/>
      <c r="I54" s="1346"/>
      <c r="J54" s="66"/>
      <c r="K54" s="1572"/>
      <c r="L54" s="108"/>
      <c r="M54" s="1354"/>
      <c r="Q54" s="1335"/>
      <c r="T54" s="2"/>
      <c r="U54" s="73"/>
      <c r="X54" s="2"/>
      <c r="Y54" s="73"/>
      <c r="AB54" s="2"/>
      <c r="AC54" s="73"/>
    </row>
    <row r="55" spans="1:29" x14ac:dyDescent="0.25">
      <c r="A55" s="154"/>
      <c r="B55" s="1323" t="s">
        <v>26</v>
      </c>
      <c r="D55" s="122">
        <f>SUM(D53,D41,D30)</f>
        <v>108361</v>
      </c>
      <c r="E55" s="1342"/>
      <c r="F55" s="108"/>
      <c r="G55" s="1552">
        <f>IF(D55=0,"0.00%",(H55-D55)/D55)</f>
        <v>-0.26897130886573584</v>
      </c>
      <c r="H55" s="122">
        <f>SUM(H53,H41,H30)</f>
        <v>79215</v>
      </c>
      <c r="I55" s="1882">
        <f>+H55-D55</f>
        <v>-29146</v>
      </c>
      <c r="J55" s="29"/>
      <c r="K55" s="1552">
        <f>IF(H55=0,"0.00%",(L55-H55)/H55)</f>
        <v>-1</v>
      </c>
      <c r="L55" s="122">
        <f>SUM(L53,L41,L30)</f>
        <v>0</v>
      </c>
      <c r="M55" s="1882">
        <f>+L55-H55</f>
        <v>-79215</v>
      </c>
      <c r="O55" s="1527" t="str">
        <f>IF(L55=0,"0.00%",(P55-L55)/L55)</f>
        <v>0.00%</v>
      </c>
      <c r="P55" s="8">
        <f>SUM(P53,P41,P30)</f>
        <v>0</v>
      </c>
      <c r="Q55" s="1882">
        <f>+P55-L55</f>
        <v>0</v>
      </c>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x14ac:dyDescent="0.25">
      <c r="A56" s="156"/>
      <c r="D56" s="108"/>
      <c r="E56" s="1342"/>
      <c r="F56" s="108"/>
      <c r="G56" s="1553"/>
      <c r="H56" s="108"/>
      <c r="I56" s="1346"/>
      <c r="J56" s="66"/>
      <c r="K56" s="1572"/>
      <c r="L56" s="108"/>
      <c r="M56" s="1354"/>
      <c r="Q56" s="1335"/>
      <c r="T56" s="2"/>
      <c r="U56" s="73"/>
      <c r="X56" s="2"/>
      <c r="Y56" s="73"/>
      <c r="AB56" s="2"/>
      <c r="AC56" s="73"/>
    </row>
    <row r="57" spans="1:29" x14ac:dyDescent="0.25">
      <c r="A57" s="153"/>
      <c r="D57" s="108"/>
      <c r="E57" s="1342"/>
      <c r="F57" s="108"/>
      <c r="G57" s="1553"/>
      <c r="H57" s="108"/>
      <c r="I57" s="1346"/>
      <c r="J57" s="66"/>
      <c r="K57" s="1572"/>
      <c r="L57" s="108"/>
      <c r="M57" s="1354"/>
      <c r="Q57" s="1335"/>
      <c r="T57" s="2"/>
      <c r="U57" s="73"/>
      <c r="X57" s="2"/>
      <c r="Y57" s="73"/>
      <c r="AB57" s="2"/>
      <c r="AC57" s="73"/>
    </row>
    <row r="58" spans="1:29" x14ac:dyDescent="0.25">
      <c r="A58" s="156"/>
      <c r="B58" s="1327" t="s">
        <v>25</v>
      </c>
      <c r="C58" s="1259"/>
      <c r="D58" s="108"/>
      <c r="E58" s="1342"/>
      <c r="F58" s="108"/>
      <c r="G58" s="1553"/>
      <c r="H58" s="108"/>
      <c r="I58" s="1346"/>
      <c r="J58" s="66"/>
      <c r="K58" s="1572"/>
      <c r="L58" s="108"/>
      <c r="M58" s="1354"/>
      <c r="Q58" s="1335"/>
      <c r="T58" s="2"/>
      <c r="U58" s="73"/>
      <c r="X58" s="2"/>
      <c r="Y58" s="73"/>
      <c r="AB58" s="2"/>
      <c r="AC58" s="73"/>
    </row>
    <row r="59" spans="1:29" hidden="1" x14ac:dyDescent="0.25">
      <c r="A59" s="153"/>
      <c r="B59" s="1326"/>
      <c r="D59" s="108">
        <v>0</v>
      </c>
      <c r="E59" s="1342"/>
      <c r="F59" s="108"/>
      <c r="G59" s="1552" t="str">
        <f t="shared" ref="G59:G66" si="29">IF(D59=0,"0.00%",(H59-D59)/D59)</f>
        <v>0.00%</v>
      </c>
      <c r="H59" s="108">
        <f t="shared" ref="H59:H65" si="30">ROUND(D59*(LEFT(I59,5)+1),0)</f>
        <v>0</v>
      </c>
      <c r="I59" s="1344" t="str">
        <f>TEXT('MYP Assumptions'!E72,"0.00%")&amp;", CPI"</f>
        <v>3.11%, CPI</v>
      </c>
      <c r="J59" s="66"/>
      <c r="K59" s="1552" t="str">
        <f t="shared" ref="K59:K66" si="31">IF(H59=0,"0.00%",(L59-H59)/H59)</f>
        <v>0.00%</v>
      </c>
      <c r="L59" s="108">
        <f>ROUND(H59*(LEFT(M59,5)+1),0)</f>
        <v>0</v>
      </c>
      <c r="M59" s="1344" t="str">
        <f>TEXT('MYP Assumptions'!F72,"0.00%")&amp;", CPI"</f>
        <v>3.19%, CPI</v>
      </c>
      <c r="O59" s="1527" t="str">
        <f t="shared" ref="O59:O66" si="32">IF(L59=0,"0.00%",(P59-L59)/L59)</f>
        <v>0.00%</v>
      </c>
      <c r="P59" s="2">
        <f>ROUND(L59*(LEFT(Q59,5)+1),0)</f>
        <v>0</v>
      </c>
      <c r="Q59" s="1240" t="str">
        <f>TEXT('MYP Assumptions'!G72,"0.00%")&amp;", CPI"</f>
        <v>2.86%, CPI</v>
      </c>
      <c r="S59" s="83" t="str">
        <f t="shared" ref="S59:S66" si="33">IF(P59=0,"0.00%",(T59-P59)/P59)</f>
        <v>0.00%</v>
      </c>
      <c r="T59" s="2">
        <f>ROUND(P59*(LEFT(U59,5)+1),0)</f>
        <v>0</v>
      </c>
      <c r="U59" s="81" t="str">
        <f>TEXT('MYP Assumptions'!H72,"0.00%")&amp;", CPI"</f>
        <v>2.73%, CPI</v>
      </c>
      <c r="W59" s="83" t="str">
        <f t="shared" ref="W59:W66" si="34">IF(T59=0,"0.00%",(X59-T59)/T59)</f>
        <v>0.00%</v>
      </c>
      <c r="X59" s="2">
        <f>ROUND(T59*(LEFT(Y59,5)+1),0)</f>
        <v>0</v>
      </c>
      <c r="Y59" s="81" t="str">
        <f>TEXT('MYP Assumptions'!I72,"0.00%")&amp;", CPI"</f>
        <v>2.73%, CPI</v>
      </c>
      <c r="AA59" s="83" t="str">
        <f t="shared" ref="AA59:AA66" si="35">IF(X59=0,"0.00%",(AB59-X59)/X59)</f>
        <v>0.00%</v>
      </c>
      <c r="AB59" s="2">
        <f>ROUND(X59*(LEFT(AC59,5)+1),0)</f>
        <v>0</v>
      </c>
      <c r="AC59" s="81" t="str">
        <f>TEXT('MYP Assumptions'!J72,"0.00%")&amp;", CPI"</f>
        <v>2.73%, CPI</v>
      </c>
    </row>
    <row r="60" spans="1:29" hidden="1" x14ac:dyDescent="0.25">
      <c r="A60" s="153"/>
      <c r="B60" s="1326"/>
      <c r="D60" s="108">
        <v>0</v>
      </c>
      <c r="E60" s="1342"/>
      <c r="F60" s="108"/>
      <c r="G60" s="1552" t="str">
        <f t="shared" si="29"/>
        <v>0.00%</v>
      </c>
      <c r="H60" s="108">
        <f t="shared" si="30"/>
        <v>0</v>
      </c>
      <c r="I60" s="1344" t="str">
        <f>TEXT('MYP Assumptions'!E72,"0.00%")&amp;", CPI"</f>
        <v>3.11%, CPI</v>
      </c>
      <c r="J60" s="66"/>
      <c r="K60" s="1552" t="str">
        <f t="shared" si="31"/>
        <v>0.00%</v>
      </c>
      <c r="L60" s="108">
        <f t="shared" ref="L60:L65" si="36">ROUND(H60*(LEFT(M60,5)+1),0)</f>
        <v>0</v>
      </c>
      <c r="M60" s="1344" t="str">
        <f>TEXT('MYP Assumptions'!F72,"0.00%")&amp;", CPI"</f>
        <v>3.19%, CPI</v>
      </c>
      <c r="O60" s="1527" t="str">
        <f t="shared" si="32"/>
        <v>0.00%</v>
      </c>
      <c r="P60" s="2">
        <f t="shared" ref="P60:P65" si="37">ROUND(L60*(LEFT(Q60,5)+1),0)</f>
        <v>0</v>
      </c>
      <c r="Q60" s="1240" t="str">
        <f>TEXT('MYP Assumptions'!G72,"0.00%")&amp;", CPI"</f>
        <v>2.86%, CPI</v>
      </c>
      <c r="S60" s="83" t="str">
        <f t="shared" si="33"/>
        <v>0.00%</v>
      </c>
      <c r="T60" s="2">
        <f t="shared" ref="T60:T65" si="38">ROUND(P60*(LEFT(U60,5)+1),0)</f>
        <v>0</v>
      </c>
      <c r="U60" s="81" t="str">
        <f>TEXT('MYP Assumptions'!H72,"0.00%")&amp;", CPI"</f>
        <v>2.73%, CPI</v>
      </c>
      <c r="W60" s="83" t="str">
        <f t="shared" si="34"/>
        <v>0.00%</v>
      </c>
      <c r="X60" s="2">
        <f t="shared" ref="X60:X65" si="39">ROUND(T60*(LEFT(Y60,5)+1),0)</f>
        <v>0</v>
      </c>
      <c r="Y60" s="81" t="str">
        <f>TEXT('MYP Assumptions'!I72,"0.00%")&amp;", CPI"</f>
        <v>2.73%, CPI</v>
      </c>
      <c r="AA60" s="83" t="str">
        <f t="shared" si="35"/>
        <v>0.00%</v>
      </c>
      <c r="AB60" s="2">
        <f t="shared" ref="AB60:AB65" si="40">ROUND(X60*(LEFT(AC60,5)+1),0)</f>
        <v>0</v>
      </c>
      <c r="AC60" s="81" t="str">
        <f>TEXT('MYP Assumptions'!J72,"0.00%")&amp;", CPI"</f>
        <v>2.73%, CPI</v>
      </c>
    </row>
    <row r="61" spans="1:29" hidden="1" x14ac:dyDescent="0.25">
      <c r="A61" s="153"/>
      <c r="B61" s="1326"/>
      <c r="D61" s="108">
        <v>0</v>
      </c>
      <c r="E61" s="1342"/>
      <c r="F61" s="108"/>
      <c r="G61" s="1552" t="str">
        <f t="shared" si="29"/>
        <v>0.00%</v>
      </c>
      <c r="H61" s="108">
        <f t="shared" si="30"/>
        <v>0</v>
      </c>
      <c r="I61" s="1344" t="str">
        <f>TEXT('MYP Assumptions'!E72,"0.00%")&amp;", CPI"</f>
        <v>3.11%, CPI</v>
      </c>
      <c r="J61" s="66"/>
      <c r="K61" s="1552" t="str">
        <f t="shared" si="31"/>
        <v>0.00%</v>
      </c>
      <c r="L61" s="108">
        <f t="shared" si="36"/>
        <v>0</v>
      </c>
      <c r="M61" s="1344" t="str">
        <f>TEXT('MYP Assumptions'!F72,"0.00%")&amp;", CPI"</f>
        <v>3.19%, CPI</v>
      </c>
      <c r="O61" s="1527" t="str">
        <f t="shared" si="32"/>
        <v>0.00%</v>
      </c>
      <c r="P61" s="2">
        <f t="shared" si="37"/>
        <v>0</v>
      </c>
      <c r="Q61" s="1240" t="str">
        <f>TEXT('MYP Assumptions'!G72,"0.00%")&amp;", CPI"</f>
        <v>2.86%, CPI</v>
      </c>
      <c r="S61" s="83" t="str">
        <f t="shared" si="33"/>
        <v>0.00%</v>
      </c>
      <c r="T61" s="2">
        <f t="shared" si="38"/>
        <v>0</v>
      </c>
      <c r="U61" s="81" t="str">
        <f>TEXT('MYP Assumptions'!H72,"0.00%")&amp;", CPI"</f>
        <v>2.73%, CPI</v>
      </c>
      <c r="W61" s="83" t="str">
        <f t="shared" si="34"/>
        <v>0.00%</v>
      </c>
      <c r="X61" s="2">
        <f t="shared" si="39"/>
        <v>0</v>
      </c>
      <c r="Y61" s="81" t="str">
        <f>TEXT('MYP Assumptions'!I72,"0.00%")&amp;", CPI"</f>
        <v>2.73%, CPI</v>
      </c>
      <c r="AA61" s="83" t="str">
        <f t="shared" si="35"/>
        <v>0.00%</v>
      </c>
      <c r="AB61" s="2">
        <f t="shared" si="40"/>
        <v>0</v>
      </c>
      <c r="AC61" s="81" t="str">
        <f>TEXT('MYP Assumptions'!J72,"0.00%")&amp;", CPI"</f>
        <v>2.73%, CPI</v>
      </c>
    </row>
    <row r="62" spans="1:29" hidden="1" x14ac:dyDescent="0.25">
      <c r="A62" s="153"/>
      <c r="B62" s="1326"/>
      <c r="D62" s="108">
        <v>0</v>
      </c>
      <c r="E62" s="1342"/>
      <c r="F62" s="108"/>
      <c r="G62" s="1552" t="str">
        <f t="shared" si="29"/>
        <v>0.00%</v>
      </c>
      <c r="H62" s="108">
        <f t="shared" si="30"/>
        <v>0</v>
      </c>
      <c r="I62" s="1344" t="str">
        <f>TEXT('MYP Assumptions'!E72,"0.00%")&amp;", CPI"</f>
        <v>3.11%, CPI</v>
      </c>
      <c r="J62" s="66"/>
      <c r="K62" s="1552" t="str">
        <f t="shared" si="31"/>
        <v>0.00%</v>
      </c>
      <c r="L62" s="108">
        <f t="shared" si="36"/>
        <v>0</v>
      </c>
      <c r="M62" s="1344" t="str">
        <f>TEXT('MYP Assumptions'!F72,"0.00%")&amp;", CPI"</f>
        <v>3.19%, CPI</v>
      </c>
      <c r="O62" s="1527" t="str">
        <f t="shared" si="32"/>
        <v>0.00%</v>
      </c>
      <c r="P62" s="2">
        <f t="shared" si="37"/>
        <v>0</v>
      </c>
      <c r="Q62" s="1240" t="str">
        <f>TEXT('MYP Assumptions'!G72,"0.00%")&amp;", CPI"</f>
        <v>2.86%, CPI</v>
      </c>
      <c r="S62" s="83" t="str">
        <f t="shared" si="33"/>
        <v>0.00%</v>
      </c>
      <c r="T62" s="2">
        <f t="shared" si="38"/>
        <v>0</v>
      </c>
      <c r="U62" s="81" t="str">
        <f>TEXT('MYP Assumptions'!H72,"0.00%")&amp;", CPI"</f>
        <v>2.73%, CPI</v>
      </c>
      <c r="W62" s="83" t="str">
        <f t="shared" si="34"/>
        <v>0.00%</v>
      </c>
      <c r="X62" s="2">
        <f t="shared" si="39"/>
        <v>0</v>
      </c>
      <c r="Y62" s="81" t="str">
        <f>TEXT('MYP Assumptions'!I72,"0.00%")&amp;", CPI"</f>
        <v>2.73%, CPI</v>
      </c>
      <c r="AA62" s="83" t="str">
        <f t="shared" si="35"/>
        <v>0.00%</v>
      </c>
      <c r="AB62" s="2">
        <f t="shared" si="40"/>
        <v>0</v>
      </c>
      <c r="AC62" s="81" t="str">
        <f>TEXT('MYP Assumptions'!J72,"0.00%")&amp;", CPI"</f>
        <v>2.73%, CPI</v>
      </c>
    </row>
    <row r="63" spans="1:29" hidden="1" x14ac:dyDescent="0.25">
      <c r="A63" s="153"/>
      <c r="B63" s="1326"/>
      <c r="D63" s="108">
        <v>0</v>
      </c>
      <c r="E63" s="1342"/>
      <c r="F63" s="108"/>
      <c r="G63" s="1552" t="str">
        <f t="shared" si="29"/>
        <v>0.00%</v>
      </c>
      <c r="H63" s="108">
        <f t="shared" si="30"/>
        <v>0</v>
      </c>
      <c r="I63" s="1344" t="str">
        <f>TEXT('MYP Assumptions'!E72,"0.00%")&amp;", CPI"</f>
        <v>3.11%, CPI</v>
      </c>
      <c r="J63" s="66"/>
      <c r="K63" s="1552" t="str">
        <f t="shared" si="31"/>
        <v>0.00%</v>
      </c>
      <c r="L63" s="108">
        <f t="shared" si="36"/>
        <v>0</v>
      </c>
      <c r="M63" s="1344" t="str">
        <f>TEXT('MYP Assumptions'!F72,"0.00%")&amp;", CPI"</f>
        <v>3.19%, CPI</v>
      </c>
      <c r="O63" s="1527" t="str">
        <f t="shared" si="32"/>
        <v>0.00%</v>
      </c>
      <c r="P63" s="2">
        <f t="shared" si="37"/>
        <v>0</v>
      </c>
      <c r="Q63" s="1240" t="str">
        <f>TEXT('MYP Assumptions'!G72,"0.00%")&amp;", CPI"</f>
        <v>2.86%, CPI</v>
      </c>
      <c r="S63" s="83" t="str">
        <f t="shared" si="33"/>
        <v>0.00%</v>
      </c>
      <c r="T63" s="2">
        <f t="shared" si="38"/>
        <v>0</v>
      </c>
      <c r="U63" s="81" t="str">
        <f>TEXT('MYP Assumptions'!H72,"0.00%")&amp;", CPI"</f>
        <v>2.73%, CPI</v>
      </c>
      <c r="W63" s="83" t="str">
        <f t="shared" si="34"/>
        <v>0.00%</v>
      </c>
      <c r="X63" s="2">
        <f t="shared" si="39"/>
        <v>0</v>
      </c>
      <c r="Y63" s="81" t="str">
        <f>TEXT('MYP Assumptions'!I72,"0.00%")&amp;", CPI"</f>
        <v>2.73%, CPI</v>
      </c>
      <c r="AA63" s="83" t="str">
        <f t="shared" si="35"/>
        <v>0.00%</v>
      </c>
      <c r="AB63" s="2">
        <f t="shared" si="40"/>
        <v>0</v>
      </c>
      <c r="AC63" s="81" t="str">
        <f>TEXT('MYP Assumptions'!J72,"0.00%")&amp;", CPI"</f>
        <v>2.73%, CPI</v>
      </c>
    </row>
    <row r="64" spans="1:29" hidden="1" x14ac:dyDescent="0.25">
      <c r="A64" s="153"/>
      <c r="B64" s="1326"/>
      <c r="D64" s="108">
        <v>0</v>
      </c>
      <c r="E64" s="1342"/>
      <c r="F64" s="108"/>
      <c r="G64" s="1552" t="str">
        <f t="shared" si="29"/>
        <v>0.00%</v>
      </c>
      <c r="H64" s="108">
        <f t="shared" si="30"/>
        <v>0</v>
      </c>
      <c r="I64" s="1344" t="str">
        <f>TEXT('MYP Assumptions'!E72,"0.00%")&amp;", CPI"</f>
        <v>3.11%, CPI</v>
      </c>
      <c r="J64" s="66"/>
      <c r="K64" s="1552" t="str">
        <f t="shared" si="31"/>
        <v>0.00%</v>
      </c>
      <c r="L64" s="108">
        <f t="shared" si="36"/>
        <v>0</v>
      </c>
      <c r="M64" s="1344" t="str">
        <f>TEXT('MYP Assumptions'!F72,"0.00%")&amp;", CPI"</f>
        <v>3.19%, CPI</v>
      </c>
      <c r="O64" s="1527" t="str">
        <f t="shared" si="32"/>
        <v>0.00%</v>
      </c>
      <c r="P64" s="2">
        <f t="shared" si="37"/>
        <v>0</v>
      </c>
      <c r="Q64" s="1240" t="str">
        <f>TEXT('MYP Assumptions'!G72,"0.00%")&amp;", CPI"</f>
        <v>2.86%, CPI</v>
      </c>
      <c r="S64" s="83" t="str">
        <f t="shared" si="33"/>
        <v>0.00%</v>
      </c>
      <c r="T64" s="2">
        <f t="shared" si="38"/>
        <v>0</v>
      </c>
      <c r="U64" s="81" t="str">
        <f>TEXT('MYP Assumptions'!H72,"0.00%")&amp;", CPI"</f>
        <v>2.73%, CPI</v>
      </c>
      <c r="W64" s="83" t="str">
        <f t="shared" si="34"/>
        <v>0.00%</v>
      </c>
      <c r="X64" s="2">
        <f t="shared" si="39"/>
        <v>0</v>
      </c>
      <c r="Y64" s="81" t="str">
        <f>TEXT('MYP Assumptions'!I72,"0.00%")&amp;", CPI"</f>
        <v>2.73%, CPI</v>
      </c>
      <c r="AA64" s="83" t="str">
        <f t="shared" si="35"/>
        <v>0.00%</v>
      </c>
      <c r="AB64" s="2">
        <f t="shared" si="40"/>
        <v>0</v>
      </c>
      <c r="AC64" s="81" t="str">
        <f>TEXT('MYP Assumptions'!J72,"0.00%")&amp;", CPI"</f>
        <v>2.73%, CPI</v>
      </c>
    </row>
    <row r="65" spans="1:29" hidden="1" x14ac:dyDescent="0.25">
      <c r="A65" s="153"/>
      <c r="B65" s="1326"/>
      <c r="C65" s="1328"/>
      <c r="D65" s="108">
        <v>0</v>
      </c>
      <c r="E65" s="1342"/>
      <c r="F65" s="108"/>
      <c r="G65" s="1552" t="str">
        <f t="shared" si="29"/>
        <v>0.00%</v>
      </c>
      <c r="H65" s="108">
        <f t="shared" si="30"/>
        <v>0</v>
      </c>
      <c r="I65" s="1344" t="str">
        <f>TEXT('MYP Assumptions'!E72,"0.00%")&amp;", CPI"</f>
        <v>3.11%, CPI</v>
      </c>
      <c r="J65" s="66"/>
      <c r="K65" s="1552" t="str">
        <f t="shared" si="31"/>
        <v>0.00%</v>
      </c>
      <c r="L65" s="108">
        <f t="shared" si="36"/>
        <v>0</v>
      </c>
      <c r="M65" s="1344" t="str">
        <f>TEXT('MYP Assumptions'!F72,"0.00%")&amp;", CPI"</f>
        <v>3.19%, CPI</v>
      </c>
      <c r="O65" s="1527" t="str">
        <f t="shared" si="32"/>
        <v>0.00%</v>
      </c>
      <c r="P65" s="2">
        <f t="shared" si="37"/>
        <v>0</v>
      </c>
      <c r="Q65" s="1240" t="str">
        <f>TEXT('MYP Assumptions'!G72,"0.00%")&amp;", CPI"</f>
        <v>2.86%, CPI</v>
      </c>
      <c r="S65" s="83" t="str">
        <f t="shared" si="33"/>
        <v>0.00%</v>
      </c>
      <c r="T65" s="2">
        <f t="shared" si="38"/>
        <v>0</v>
      </c>
      <c r="U65" s="81" t="str">
        <f>TEXT('MYP Assumptions'!H72,"0.00%")&amp;", CPI"</f>
        <v>2.73%, CPI</v>
      </c>
      <c r="W65" s="83" t="str">
        <f t="shared" si="34"/>
        <v>0.00%</v>
      </c>
      <c r="X65" s="2">
        <f t="shared" si="39"/>
        <v>0</v>
      </c>
      <c r="Y65" s="81" t="str">
        <f>TEXT('MYP Assumptions'!I72,"0.00%")&amp;", CPI"</f>
        <v>2.73%, CPI</v>
      </c>
      <c r="AA65" s="83" t="str">
        <f t="shared" si="35"/>
        <v>0.00%</v>
      </c>
      <c r="AB65" s="2">
        <f t="shared" si="40"/>
        <v>0</v>
      </c>
      <c r="AC65" s="81" t="str">
        <f>TEXT('MYP Assumptions'!J72,"0.00%")&amp;", CPI"</f>
        <v>2.73%, CPI</v>
      </c>
    </row>
    <row r="66" spans="1:29" x14ac:dyDescent="0.25">
      <c r="A66" s="154"/>
      <c r="B66" s="1243"/>
      <c r="D66" s="122">
        <f>SUM(D59:D65)</f>
        <v>0</v>
      </c>
      <c r="E66" s="1342"/>
      <c r="F66" s="108"/>
      <c r="G66" s="1552" t="str">
        <f t="shared" si="29"/>
        <v>0.00%</v>
      </c>
      <c r="H66" s="122">
        <f>SUM(H59:H65)</f>
        <v>0</v>
      </c>
      <c r="I66" s="1348"/>
      <c r="J66" s="29"/>
      <c r="K66" s="1552" t="str">
        <f t="shared" si="31"/>
        <v>0.00%</v>
      </c>
      <c r="L66" s="122">
        <f>SUM(L59:L65)</f>
        <v>0</v>
      </c>
      <c r="M66" s="1354"/>
      <c r="O66" s="1527" t="str">
        <f t="shared" si="32"/>
        <v>0.00%</v>
      </c>
      <c r="P66" s="8">
        <f>SUM(P59:P65)</f>
        <v>0</v>
      </c>
      <c r="Q66" s="1335"/>
      <c r="S66" s="83" t="str">
        <f t="shared" si="33"/>
        <v>0.00%</v>
      </c>
      <c r="T66" s="8">
        <f>SUM(T59:T65)</f>
        <v>0</v>
      </c>
      <c r="U66" s="73"/>
      <c r="W66" s="83" t="str">
        <f t="shared" si="34"/>
        <v>0.00%</v>
      </c>
      <c r="X66" s="8">
        <f>SUM(X59:X65)</f>
        <v>0</v>
      </c>
      <c r="Y66" s="73"/>
      <c r="AA66" s="83" t="str">
        <f t="shared" si="35"/>
        <v>0.00%</v>
      </c>
      <c r="AB66" s="8">
        <f>SUM(AB59:AB65)</f>
        <v>0</v>
      </c>
      <c r="AC66" s="73"/>
    </row>
    <row r="67" spans="1:29" ht="15.75" x14ac:dyDescent="0.25">
      <c r="A67" s="153"/>
      <c r="D67" s="108"/>
      <c r="E67" s="1342"/>
      <c r="F67" s="108"/>
      <c r="G67" s="1553"/>
      <c r="H67" s="108"/>
      <c r="I67" s="1349" t="s">
        <v>827</v>
      </c>
      <c r="J67" s="66"/>
      <c r="K67" s="1572"/>
      <c r="L67" s="108"/>
      <c r="M67" s="1354"/>
      <c r="Q67" s="1335"/>
      <c r="T67" s="2"/>
      <c r="U67" s="73"/>
      <c r="X67" s="2"/>
      <c r="Y67" s="73"/>
      <c r="AB67" s="2"/>
      <c r="AC67" s="73"/>
    </row>
    <row r="68" spans="1:29" s="4" customFormat="1" ht="15.75" x14ac:dyDescent="0.25">
      <c r="A68" s="151"/>
      <c r="B68" s="1323" t="s">
        <v>16</v>
      </c>
      <c r="C68" s="1259"/>
      <c r="D68" s="57"/>
      <c r="E68" s="1343"/>
      <c r="F68" s="57"/>
      <c r="G68" s="1554"/>
      <c r="H68" s="617"/>
      <c r="I68" s="1349" t="s">
        <v>826</v>
      </c>
      <c r="J68" s="58"/>
      <c r="K68" s="1573"/>
      <c r="L68" s="57"/>
      <c r="M68" s="1356"/>
      <c r="O68" s="1571"/>
      <c r="P68" s="6"/>
      <c r="Q68" s="1337"/>
      <c r="R68" s="111"/>
      <c r="U68" s="71"/>
      <c r="Y68" s="71"/>
      <c r="AC68" s="71"/>
    </row>
    <row r="69" spans="1:29" ht="15.75" x14ac:dyDescent="0.25">
      <c r="A69" s="153"/>
      <c r="B69" s="1326">
        <v>5213</v>
      </c>
      <c r="C69" s="1243" t="s">
        <v>262</v>
      </c>
      <c r="D69" s="108">
        <v>19525</v>
      </c>
      <c r="E69" s="1342" t="s">
        <v>733</v>
      </c>
      <c r="F69" s="108"/>
      <c r="G69" s="1552">
        <f t="shared" ref="G69:G74" si="41">IF(D69=0,"0.00%",(H69-D69)/D69)</f>
        <v>1.5418693982074263</v>
      </c>
      <c r="H69" s="1495">
        <v>49630</v>
      </c>
      <c r="I69" s="1349" t="s">
        <v>813</v>
      </c>
      <c r="J69" s="66"/>
      <c r="K69" s="1552">
        <f t="shared" ref="K69:K82" si="42">IF(H69=0,"0.00%",(L69-H69)/H69)</f>
        <v>-0.99998327624420713</v>
      </c>
      <c r="L69" s="485">
        <v>0.83</v>
      </c>
      <c r="M69" s="1345" t="s">
        <v>690</v>
      </c>
      <c r="O69" s="1527">
        <f t="shared" ref="O69:O82" si="43">IF(L69=0,"0.00%",(P69-L69)/L69)</f>
        <v>-1</v>
      </c>
      <c r="P69" s="2">
        <v>0</v>
      </c>
      <c r="Q69" s="1240" t="str">
        <f>TEXT('MYP Assumptions'!G72,"0.00%")&amp;", CPI"</f>
        <v>2.86%, CPI</v>
      </c>
      <c r="S69" s="83" t="str">
        <f t="shared" ref="S69:S82" si="44">IF(P69=0,"0.00%",(T69-P69)/P69)</f>
        <v>0.00%</v>
      </c>
      <c r="T69" s="2">
        <f>ROUND(P69*(LEFT(U69,5)+1),0)</f>
        <v>0</v>
      </c>
      <c r="U69" s="81" t="str">
        <f>TEXT('MYP Assumptions'!H72,"0.00%")&amp;", CPI"</f>
        <v>2.73%, CPI</v>
      </c>
      <c r="W69" s="83" t="str">
        <f t="shared" ref="W69:W82" si="45">IF(T69=0,"0.00%",(X69-T69)/T69)</f>
        <v>0.00%</v>
      </c>
      <c r="X69" s="2">
        <f>ROUND(T69*(LEFT(Y69,5)+1),0)</f>
        <v>0</v>
      </c>
      <c r="Y69" s="81" t="str">
        <f>TEXT('MYP Assumptions'!I72,"0.00%")&amp;", CPI"</f>
        <v>2.73%, CPI</v>
      </c>
      <c r="AA69" s="83" t="str">
        <f t="shared" ref="AA69:AA82" si="46">IF(X69=0,"0.00%",(AB69-X69)/X69)</f>
        <v>0.00%</v>
      </c>
      <c r="AB69" s="2">
        <f>ROUND(X69*(LEFT(AC69,5)+1),0)</f>
        <v>0</v>
      </c>
      <c r="AC69" s="81" t="str">
        <f>TEXT('MYP Assumptions'!J72,"0.00%")&amp;", CPI"</f>
        <v>2.73%, CPI</v>
      </c>
    </row>
    <row r="70" spans="1:29" ht="15.75" x14ac:dyDescent="0.25">
      <c r="A70" s="153"/>
      <c r="B70" s="1326">
        <v>5807</v>
      </c>
      <c r="C70" s="1243" t="s">
        <v>8</v>
      </c>
      <c r="D70" s="108">
        <v>67500</v>
      </c>
      <c r="E70" s="1342" t="s">
        <v>731</v>
      </c>
      <c r="F70" s="108"/>
      <c r="G70" s="1552">
        <f t="shared" si="41"/>
        <v>-1</v>
      </c>
      <c r="H70" s="1495"/>
      <c r="I70" s="1410"/>
      <c r="J70" s="66"/>
      <c r="K70" s="1552" t="str">
        <f t="shared" si="42"/>
        <v>0.00%</v>
      </c>
      <c r="L70" s="485">
        <v>0</v>
      </c>
      <c r="M70" s="1345" t="s">
        <v>690</v>
      </c>
      <c r="O70" s="1527" t="str">
        <f t="shared" si="43"/>
        <v>0.00%</v>
      </c>
      <c r="P70" s="2">
        <f t="shared" ref="P70:P81" si="47">ROUND(L70*(LEFT(Q70,5)+1),0)</f>
        <v>0</v>
      </c>
      <c r="Q70" s="1240" t="str">
        <f>TEXT('MYP Assumptions'!G72,"0.00%")&amp;", CPI"</f>
        <v>2.86%, CPI</v>
      </c>
      <c r="S70" s="83" t="str">
        <f t="shared" si="44"/>
        <v>0.00%</v>
      </c>
      <c r="T70" s="2">
        <f t="shared" ref="T70:T81" si="48">ROUND(P70*(LEFT(U70,5)+1),0)</f>
        <v>0</v>
      </c>
      <c r="U70" s="81" t="str">
        <f>TEXT('MYP Assumptions'!H72,"0.00%")&amp;", CPI"</f>
        <v>2.73%, CPI</v>
      </c>
      <c r="W70" s="83" t="str">
        <f t="shared" si="45"/>
        <v>0.00%</v>
      </c>
      <c r="X70" s="2">
        <f t="shared" ref="X70:X81" si="49">ROUND(T70*(LEFT(Y70,5)+1),0)</f>
        <v>0</v>
      </c>
      <c r="Y70" s="81" t="str">
        <f>TEXT('MYP Assumptions'!I72,"0.00%")&amp;", CPI"</f>
        <v>2.73%, CPI</v>
      </c>
      <c r="AA70" s="83" t="str">
        <f t="shared" si="46"/>
        <v>0.00%</v>
      </c>
      <c r="AB70" s="2">
        <f t="shared" ref="AB70:AB81" si="50">ROUND(X70*(LEFT(AC70,5)+1),0)</f>
        <v>0</v>
      </c>
      <c r="AC70" s="81" t="str">
        <f>TEXT('MYP Assumptions'!J72,"0.00%")&amp;", CPI"</f>
        <v>2.73%, CPI</v>
      </c>
    </row>
    <row r="71" spans="1:29" x14ac:dyDescent="0.25">
      <c r="A71" s="153"/>
      <c r="B71" s="1326">
        <v>5809</v>
      </c>
      <c r="C71" s="1243" t="s">
        <v>123</v>
      </c>
      <c r="D71" s="108">
        <f>51*3000</f>
        <v>153000</v>
      </c>
      <c r="E71" s="1342" t="s">
        <v>730</v>
      </c>
      <c r="F71" s="108"/>
      <c r="G71" s="1552">
        <f t="shared" si="41"/>
        <v>-0.11764705882352941</v>
      </c>
      <c r="H71" s="491">
        <v>135000</v>
      </c>
      <c r="I71" s="1350" t="s">
        <v>768</v>
      </c>
      <c r="J71" s="66"/>
      <c r="K71" s="1552">
        <f t="shared" si="42"/>
        <v>-1</v>
      </c>
      <c r="L71" s="485">
        <v>0</v>
      </c>
      <c r="M71" s="1345" t="s">
        <v>690</v>
      </c>
      <c r="O71" s="1527" t="str">
        <f t="shared" si="43"/>
        <v>0.00%</v>
      </c>
      <c r="P71" s="2">
        <f t="shared" si="47"/>
        <v>0</v>
      </c>
      <c r="Q71" s="1240" t="str">
        <f>TEXT('MYP Assumptions'!G72,"0.00%")&amp;", CPI"</f>
        <v>2.86%, CPI</v>
      </c>
      <c r="S71" s="83" t="str">
        <f t="shared" si="44"/>
        <v>0.00%</v>
      </c>
      <c r="T71" s="2">
        <f t="shared" si="48"/>
        <v>0</v>
      </c>
      <c r="U71" s="81" t="str">
        <f>TEXT('MYP Assumptions'!H72,"0.00%")&amp;", CPI"</f>
        <v>2.73%, CPI</v>
      </c>
      <c r="W71" s="83" t="str">
        <f t="shared" si="45"/>
        <v>0.00%</v>
      </c>
      <c r="X71" s="2">
        <f t="shared" si="49"/>
        <v>0</v>
      </c>
      <c r="Y71" s="81" t="str">
        <f>TEXT('MYP Assumptions'!I72,"0.00%")&amp;", CPI"</f>
        <v>2.73%, CPI</v>
      </c>
      <c r="AA71" s="83" t="str">
        <f t="shared" si="46"/>
        <v>0.00%</v>
      </c>
      <c r="AB71" s="2">
        <f t="shared" si="50"/>
        <v>0</v>
      </c>
      <c r="AC71" s="81" t="str">
        <f>TEXT('MYP Assumptions'!J72,"0.00%")&amp;", CPI"</f>
        <v>2.73%, CPI</v>
      </c>
    </row>
    <row r="72" spans="1:29" hidden="1" x14ac:dyDescent="0.25">
      <c r="A72" s="153"/>
      <c r="B72" s="1326"/>
      <c r="D72" s="108">
        <v>0</v>
      </c>
      <c r="E72" s="1342"/>
      <c r="F72" s="108"/>
      <c r="G72" s="1552" t="str">
        <f t="shared" si="41"/>
        <v>0.00%</v>
      </c>
      <c r="H72" s="108">
        <f t="shared" ref="H72:H76" si="51">ROUND(D72*(LEFT(I72,5)+1),0)</f>
        <v>0</v>
      </c>
      <c r="I72" s="1350" t="str">
        <f>TEXT('MYP Assumptions'!E72,"0.00%")&amp;", CPI"</f>
        <v>3.11%, CPI</v>
      </c>
      <c r="J72" s="66"/>
      <c r="K72" s="1552" t="str">
        <f t="shared" si="42"/>
        <v>0.00%</v>
      </c>
      <c r="L72" s="108">
        <f t="shared" ref="L72:L81" si="52">ROUND(H72*(LEFT(M72,5)+1),0)</f>
        <v>0</v>
      </c>
      <c r="M72" s="1344" t="str">
        <f>TEXT('MYP Assumptions'!F72,"0.00%")&amp;", CPI"</f>
        <v>3.19%, CPI</v>
      </c>
      <c r="O72" s="1527" t="str">
        <f t="shared" si="43"/>
        <v>0.00%</v>
      </c>
      <c r="P72" s="2">
        <f t="shared" si="47"/>
        <v>0</v>
      </c>
      <c r="Q72" s="1240" t="str">
        <f>TEXT('MYP Assumptions'!G72,"0.00%")&amp;", CPI"</f>
        <v>2.86%, CPI</v>
      </c>
      <c r="S72" s="83" t="str">
        <f t="shared" si="44"/>
        <v>0.00%</v>
      </c>
      <c r="T72" s="2">
        <f t="shared" si="48"/>
        <v>0</v>
      </c>
      <c r="U72" s="81" t="str">
        <f>TEXT('MYP Assumptions'!H72,"0.00%")&amp;", CPI"</f>
        <v>2.73%, CPI</v>
      </c>
      <c r="W72" s="83" t="str">
        <f t="shared" si="45"/>
        <v>0.00%</v>
      </c>
      <c r="X72" s="2">
        <f t="shared" si="49"/>
        <v>0</v>
      </c>
      <c r="Y72" s="81" t="str">
        <f>TEXT('MYP Assumptions'!I72,"0.00%")&amp;", CPI"</f>
        <v>2.73%, CPI</v>
      </c>
      <c r="AA72" s="83" t="str">
        <f t="shared" si="46"/>
        <v>0.00%</v>
      </c>
      <c r="AB72" s="2">
        <f t="shared" si="50"/>
        <v>0</v>
      </c>
      <c r="AC72" s="81" t="str">
        <f>TEXT('MYP Assumptions'!J72,"0.00%")&amp;", CPI"</f>
        <v>2.73%, CPI</v>
      </c>
    </row>
    <row r="73" spans="1:29" hidden="1" x14ac:dyDescent="0.25">
      <c r="A73" s="153"/>
      <c r="B73" s="1326"/>
      <c r="D73" s="108">
        <v>0</v>
      </c>
      <c r="E73" s="1342"/>
      <c r="F73" s="108"/>
      <c r="G73" s="1552" t="str">
        <f t="shared" si="41"/>
        <v>0.00%</v>
      </c>
      <c r="H73" s="108">
        <f t="shared" si="51"/>
        <v>0</v>
      </c>
      <c r="I73" s="1350" t="str">
        <f>TEXT('MYP Assumptions'!E72,"0.00%")&amp;", CPI"</f>
        <v>3.11%, CPI</v>
      </c>
      <c r="J73" s="66"/>
      <c r="K73" s="1552" t="str">
        <f t="shared" si="42"/>
        <v>0.00%</v>
      </c>
      <c r="L73" s="108">
        <f t="shared" si="52"/>
        <v>0</v>
      </c>
      <c r="M73" s="1344" t="str">
        <f>TEXT('MYP Assumptions'!F72,"0.00%")&amp;", CPI"</f>
        <v>3.19%, CPI</v>
      </c>
      <c r="O73" s="1527" t="str">
        <f t="shared" si="43"/>
        <v>0.00%</v>
      </c>
      <c r="P73" s="2">
        <f t="shared" si="47"/>
        <v>0</v>
      </c>
      <c r="Q73" s="1240" t="str">
        <f>TEXT('MYP Assumptions'!G72,"0.00%")&amp;", CPI"</f>
        <v>2.86%, CPI</v>
      </c>
      <c r="S73" s="83" t="str">
        <f t="shared" si="44"/>
        <v>0.00%</v>
      </c>
      <c r="T73" s="2">
        <f t="shared" si="48"/>
        <v>0</v>
      </c>
      <c r="U73" s="81" t="str">
        <f>TEXT('MYP Assumptions'!H72,"0.00%")&amp;", CPI"</f>
        <v>2.73%, CPI</v>
      </c>
      <c r="W73" s="83" t="str">
        <f t="shared" si="45"/>
        <v>0.00%</v>
      </c>
      <c r="X73" s="2">
        <f t="shared" si="49"/>
        <v>0</v>
      </c>
      <c r="Y73" s="81" t="str">
        <f>TEXT('MYP Assumptions'!I72,"0.00%")&amp;", CPI"</f>
        <v>2.73%, CPI</v>
      </c>
      <c r="AA73" s="83" t="str">
        <f t="shared" si="46"/>
        <v>0.00%</v>
      </c>
      <c r="AB73" s="2">
        <f t="shared" si="50"/>
        <v>0</v>
      </c>
      <c r="AC73" s="81" t="str">
        <f>TEXT('MYP Assumptions'!J72,"0.00%")&amp;", CPI"</f>
        <v>2.73%, CPI</v>
      </c>
    </row>
    <row r="74" spans="1:29" hidden="1" x14ac:dyDescent="0.25">
      <c r="A74" s="153"/>
      <c r="B74" s="1326"/>
      <c r="D74" s="108">
        <v>0</v>
      </c>
      <c r="E74" s="1342"/>
      <c r="F74" s="108"/>
      <c r="G74" s="1552" t="str">
        <f t="shared" si="41"/>
        <v>0.00%</v>
      </c>
      <c r="H74" s="108">
        <f t="shared" si="51"/>
        <v>0</v>
      </c>
      <c r="I74" s="1350" t="str">
        <f>TEXT('MYP Assumptions'!E72,"0.00%")&amp;", CPI"</f>
        <v>3.11%, CPI</v>
      </c>
      <c r="J74" s="66"/>
      <c r="K74" s="1552" t="str">
        <f t="shared" si="42"/>
        <v>0.00%</v>
      </c>
      <c r="L74" s="108">
        <f t="shared" si="52"/>
        <v>0</v>
      </c>
      <c r="M74" s="1344" t="str">
        <f>TEXT('MYP Assumptions'!F72,"0.00%")&amp;", CPI"</f>
        <v>3.19%, CPI</v>
      </c>
      <c r="O74" s="1527" t="str">
        <f t="shared" si="43"/>
        <v>0.00%</v>
      </c>
      <c r="P74" s="2">
        <f t="shared" si="47"/>
        <v>0</v>
      </c>
      <c r="Q74" s="1240" t="str">
        <f>TEXT('MYP Assumptions'!G72,"0.00%")&amp;", CPI"</f>
        <v>2.86%, CPI</v>
      </c>
      <c r="S74" s="83" t="str">
        <f t="shared" si="44"/>
        <v>0.00%</v>
      </c>
      <c r="T74" s="2">
        <f t="shared" si="48"/>
        <v>0</v>
      </c>
      <c r="U74" s="81" t="str">
        <f>TEXT('MYP Assumptions'!H72,"0.00%")&amp;", CPI"</f>
        <v>2.73%, CPI</v>
      </c>
      <c r="W74" s="83" t="str">
        <f t="shared" si="45"/>
        <v>0.00%</v>
      </c>
      <c r="X74" s="2">
        <f t="shared" si="49"/>
        <v>0</v>
      </c>
      <c r="Y74" s="81" t="str">
        <f>TEXT('MYP Assumptions'!I72,"0.00%")&amp;", CPI"</f>
        <v>2.73%, CPI</v>
      </c>
      <c r="AA74" s="83" t="str">
        <f t="shared" si="46"/>
        <v>0.00%</v>
      </c>
      <c r="AB74" s="2">
        <f t="shared" si="50"/>
        <v>0</v>
      </c>
      <c r="AC74" s="81" t="str">
        <f>TEXT('MYP Assumptions'!J72,"0.00%")&amp;", CPI"</f>
        <v>2.73%, CPI</v>
      </c>
    </row>
    <row r="75" spans="1:29" hidden="1" x14ac:dyDescent="0.25">
      <c r="A75" s="153"/>
      <c r="B75" s="1326"/>
      <c r="D75" s="108">
        <v>0</v>
      </c>
      <c r="E75" s="1342"/>
      <c r="F75" s="108"/>
      <c r="G75" s="1552" t="str">
        <f>IF(D75=0,"0.00%",(H75-D75)/D75)</f>
        <v>0.00%</v>
      </c>
      <c r="H75" s="108">
        <f t="shared" si="51"/>
        <v>0</v>
      </c>
      <c r="I75" s="1350" t="str">
        <f>TEXT('MYP Assumptions'!E72,"0.00%")&amp;", CPI"</f>
        <v>3.11%, CPI</v>
      </c>
      <c r="J75" s="66"/>
      <c r="K75" s="1552" t="str">
        <f t="shared" si="42"/>
        <v>0.00%</v>
      </c>
      <c r="L75" s="108">
        <f t="shared" si="52"/>
        <v>0</v>
      </c>
      <c r="M75" s="1344" t="str">
        <f>TEXT('MYP Assumptions'!F72,"0.00%")&amp;", CPI"</f>
        <v>3.19%, CPI</v>
      </c>
      <c r="O75" s="1527" t="str">
        <f t="shared" si="43"/>
        <v>0.00%</v>
      </c>
      <c r="P75" s="2">
        <f t="shared" si="47"/>
        <v>0</v>
      </c>
      <c r="Q75" s="1240" t="str">
        <f>TEXT('MYP Assumptions'!G72,"0.00%")&amp;", CPI"</f>
        <v>2.86%, CPI</v>
      </c>
      <c r="S75" s="83" t="str">
        <f t="shared" si="44"/>
        <v>0.00%</v>
      </c>
      <c r="T75" s="2">
        <f t="shared" si="48"/>
        <v>0</v>
      </c>
      <c r="U75" s="81" t="str">
        <f>TEXT('MYP Assumptions'!H72,"0.00%")&amp;", CPI"</f>
        <v>2.73%, CPI</v>
      </c>
      <c r="W75" s="83" t="str">
        <f t="shared" si="45"/>
        <v>0.00%</v>
      </c>
      <c r="X75" s="2">
        <f t="shared" si="49"/>
        <v>0</v>
      </c>
      <c r="Y75" s="81" t="str">
        <f>TEXT('MYP Assumptions'!I72,"0.00%")&amp;", CPI"</f>
        <v>2.73%, CPI</v>
      </c>
      <c r="AA75" s="83" t="str">
        <f t="shared" si="46"/>
        <v>0.00%</v>
      </c>
      <c r="AB75" s="2">
        <f t="shared" si="50"/>
        <v>0</v>
      </c>
      <c r="AC75" s="81" t="str">
        <f>TEXT('MYP Assumptions'!J72,"0.00%")&amp;", CPI"</f>
        <v>2.73%, CPI</v>
      </c>
    </row>
    <row r="76" spans="1:29" hidden="1" x14ac:dyDescent="0.25">
      <c r="A76" s="153"/>
      <c r="B76" s="1326"/>
      <c r="D76" s="108">
        <v>0</v>
      </c>
      <c r="E76" s="1342"/>
      <c r="F76" s="108"/>
      <c r="G76" s="1552" t="str">
        <f t="shared" ref="G76:G82" si="53">IF(D76=0,"0.00%",(H76-D76)/D76)</f>
        <v>0.00%</v>
      </c>
      <c r="H76" s="108">
        <f t="shared" si="51"/>
        <v>0</v>
      </c>
      <c r="I76" s="1350" t="str">
        <f>TEXT('MYP Assumptions'!E72,"0.00%")&amp;", CPI"</f>
        <v>3.11%, CPI</v>
      </c>
      <c r="J76" s="66"/>
      <c r="K76" s="1552" t="str">
        <f t="shared" si="42"/>
        <v>0.00%</v>
      </c>
      <c r="L76" s="108">
        <f t="shared" si="52"/>
        <v>0</v>
      </c>
      <c r="M76" s="1344" t="str">
        <f>TEXT('MYP Assumptions'!F72,"0.00%")&amp;", CPI"</f>
        <v>3.19%, CPI</v>
      </c>
      <c r="O76" s="1527" t="str">
        <f t="shared" si="43"/>
        <v>0.00%</v>
      </c>
      <c r="P76" s="2">
        <f t="shared" si="47"/>
        <v>0</v>
      </c>
      <c r="Q76" s="1240" t="str">
        <f>TEXT('MYP Assumptions'!G72,"0.00%")&amp;", CPI"</f>
        <v>2.86%, CPI</v>
      </c>
      <c r="S76" s="83" t="str">
        <f t="shared" si="44"/>
        <v>0.00%</v>
      </c>
      <c r="T76" s="2">
        <f t="shared" si="48"/>
        <v>0</v>
      </c>
      <c r="U76" s="81" t="str">
        <f>TEXT('MYP Assumptions'!H72,"0.00%")&amp;", CPI"</f>
        <v>2.73%, CPI</v>
      </c>
      <c r="W76" s="83" t="str">
        <f t="shared" si="45"/>
        <v>0.00%</v>
      </c>
      <c r="X76" s="2">
        <f t="shared" si="49"/>
        <v>0</v>
      </c>
      <c r="Y76" s="81" t="str">
        <f>TEXT('MYP Assumptions'!I72,"0.00%")&amp;", CPI"</f>
        <v>2.73%, CPI</v>
      </c>
      <c r="AA76" s="83" t="str">
        <f t="shared" si="46"/>
        <v>0.00%</v>
      </c>
      <c r="AB76" s="2">
        <f t="shared" si="50"/>
        <v>0</v>
      </c>
      <c r="AC76" s="81" t="str">
        <f>TEXT('MYP Assumptions'!J72,"0.00%")&amp;", CPI"</f>
        <v>2.73%, CPI</v>
      </c>
    </row>
    <row r="77" spans="1:29" hidden="1" x14ac:dyDescent="0.25">
      <c r="A77" s="153"/>
      <c r="B77" s="1326"/>
      <c r="D77" s="108">
        <v>0</v>
      </c>
      <c r="E77" s="1342"/>
      <c r="F77" s="108"/>
      <c r="G77" s="1552" t="str">
        <f t="shared" si="53"/>
        <v>0.00%</v>
      </c>
      <c r="H77" s="108">
        <f>ROUND(D77*(LEFT(I77,5)+1),0)</f>
        <v>0</v>
      </c>
      <c r="I77" s="1350" t="str">
        <f>TEXT('MYP Assumptions'!E72,"0.00%")&amp;", CPI"</f>
        <v>3.11%, CPI</v>
      </c>
      <c r="J77" s="66"/>
      <c r="K77" s="1552" t="str">
        <f t="shared" si="42"/>
        <v>0.00%</v>
      </c>
      <c r="L77" s="108">
        <f t="shared" si="52"/>
        <v>0</v>
      </c>
      <c r="M77" s="1344" t="str">
        <f>TEXT('MYP Assumptions'!F72,"0.00%")&amp;", CPI"</f>
        <v>3.19%, CPI</v>
      </c>
      <c r="O77" s="1527" t="str">
        <f t="shared" si="43"/>
        <v>0.00%</v>
      </c>
      <c r="P77" s="2">
        <f t="shared" si="47"/>
        <v>0</v>
      </c>
      <c r="Q77" s="1240" t="str">
        <f>TEXT('MYP Assumptions'!G72,"0.00%")&amp;", CPI"</f>
        <v>2.86%, CPI</v>
      </c>
      <c r="S77" s="83" t="str">
        <f t="shared" si="44"/>
        <v>0.00%</v>
      </c>
      <c r="T77" s="2">
        <f t="shared" si="48"/>
        <v>0</v>
      </c>
      <c r="U77" s="81" t="str">
        <f>TEXT('MYP Assumptions'!H72,"0.00%")&amp;", CPI"</f>
        <v>2.73%, CPI</v>
      </c>
      <c r="W77" s="83" t="str">
        <f t="shared" si="45"/>
        <v>0.00%</v>
      </c>
      <c r="X77" s="2">
        <f t="shared" si="49"/>
        <v>0</v>
      </c>
      <c r="Y77" s="81" t="str">
        <f>TEXT('MYP Assumptions'!I72,"0.00%")&amp;", CPI"</f>
        <v>2.73%, CPI</v>
      </c>
      <c r="AA77" s="83" t="str">
        <f t="shared" si="46"/>
        <v>0.00%</v>
      </c>
      <c r="AB77" s="2">
        <f t="shared" si="50"/>
        <v>0</v>
      </c>
      <c r="AC77" s="81" t="str">
        <f>TEXT('MYP Assumptions'!J72,"0.00%")&amp;", CPI"</f>
        <v>2.73%, CPI</v>
      </c>
    </row>
    <row r="78" spans="1:29" hidden="1" x14ac:dyDescent="0.25">
      <c r="A78" s="153"/>
      <c r="B78" s="1326"/>
      <c r="D78" s="108">
        <v>0</v>
      </c>
      <c r="E78" s="1342"/>
      <c r="F78" s="108"/>
      <c r="G78" s="1552" t="str">
        <f t="shared" si="53"/>
        <v>0.00%</v>
      </c>
      <c r="H78" s="108">
        <f>ROUND(D78*(LEFT(I78,5)+1),0)</f>
        <v>0</v>
      </c>
      <c r="I78" s="1350" t="str">
        <f>TEXT('MYP Assumptions'!E72,"0.00%")&amp;", CPI"</f>
        <v>3.11%, CPI</v>
      </c>
      <c r="J78" s="66"/>
      <c r="K78" s="1552" t="str">
        <f t="shared" si="42"/>
        <v>0.00%</v>
      </c>
      <c r="L78" s="108">
        <f t="shared" si="52"/>
        <v>0</v>
      </c>
      <c r="M78" s="1344" t="str">
        <f>TEXT('MYP Assumptions'!F72,"0.00%")&amp;", CPI"</f>
        <v>3.19%, CPI</v>
      </c>
      <c r="O78" s="1527" t="str">
        <f t="shared" si="43"/>
        <v>0.00%</v>
      </c>
      <c r="P78" s="2">
        <f t="shared" si="47"/>
        <v>0</v>
      </c>
      <c r="Q78" s="1240" t="str">
        <f>TEXT('MYP Assumptions'!G72,"0.00%")&amp;", CPI"</f>
        <v>2.86%, CPI</v>
      </c>
      <c r="S78" s="83" t="str">
        <f t="shared" si="44"/>
        <v>0.00%</v>
      </c>
      <c r="T78" s="2">
        <f t="shared" si="48"/>
        <v>0</v>
      </c>
      <c r="U78" s="81" t="str">
        <f>TEXT('MYP Assumptions'!H72,"0.00%")&amp;", CPI"</f>
        <v>2.73%, CPI</v>
      </c>
      <c r="W78" s="83" t="str">
        <f t="shared" si="45"/>
        <v>0.00%</v>
      </c>
      <c r="X78" s="2">
        <f t="shared" si="49"/>
        <v>0</v>
      </c>
      <c r="Y78" s="81" t="str">
        <f>TEXT('MYP Assumptions'!I72,"0.00%")&amp;", CPI"</f>
        <v>2.73%, CPI</v>
      </c>
      <c r="AA78" s="83" t="str">
        <f t="shared" si="46"/>
        <v>0.00%</v>
      </c>
      <c r="AB78" s="2">
        <f t="shared" si="50"/>
        <v>0</v>
      </c>
      <c r="AC78" s="81" t="str">
        <f>TEXT('MYP Assumptions'!J72,"0.00%")&amp;", CPI"</f>
        <v>2.73%, CPI</v>
      </c>
    </row>
    <row r="79" spans="1:29" hidden="1" x14ac:dyDescent="0.25">
      <c r="A79" s="153"/>
      <c r="B79" s="1326"/>
      <c r="D79" s="108">
        <v>0</v>
      </c>
      <c r="E79" s="1342"/>
      <c r="F79" s="108"/>
      <c r="G79" s="1552" t="str">
        <f t="shared" si="53"/>
        <v>0.00%</v>
      </c>
      <c r="H79" s="108">
        <f>ROUND(D79*(LEFT(I79,5)+1),0)</f>
        <v>0</v>
      </c>
      <c r="I79" s="1350" t="str">
        <f>TEXT('MYP Assumptions'!E72,"0.00%")&amp;", CPI"</f>
        <v>3.11%, CPI</v>
      </c>
      <c r="J79" s="66"/>
      <c r="K79" s="1552" t="str">
        <f t="shared" si="42"/>
        <v>0.00%</v>
      </c>
      <c r="L79" s="108">
        <f t="shared" si="52"/>
        <v>0</v>
      </c>
      <c r="M79" s="1344" t="str">
        <f>TEXT('MYP Assumptions'!F72,"0.00%")&amp;", CPI"</f>
        <v>3.19%, CPI</v>
      </c>
      <c r="O79" s="1527" t="str">
        <f t="shared" si="43"/>
        <v>0.00%</v>
      </c>
      <c r="P79" s="2">
        <f t="shared" si="47"/>
        <v>0</v>
      </c>
      <c r="Q79" s="1240" t="str">
        <f>TEXT('MYP Assumptions'!G72,"0.00%")&amp;", CPI"</f>
        <v>2.86%, CPI</v>
      </c>
      <c r="S79" s="83" t="str">
        <f t="shared" si="44"/>
        <v>0.00%</v>
      </c>
      <c r="T79" s="2">
        <f t="shared" si="48"/>
        <v>0</v>
      </c>
      <c r="U79" s="81" t="str">
        <f>TEXT('MYP Assumptions'!H72,"0.00%")&amp;", CPI"</f>
        <v>2.73%, CPI</v>
      </c>
      <c r="W79" s="83" t="str">
        <f t="shared" si="45"/>
        <v>0.00%</v>
      </c>
      <c r="X79" s="2">
        <f t="shared" si="49"/>
        <v>0</v>
      </c>
      <c r="Y79" s="81" t="str">
        <f>TEXT('MYP Assumptions'!I72,"0.00%")&amp;", CPI"</f>
        <v>2.73%, CPI</v>
      </c>
      <c r="AA79" s="83" t="str">
        <f t="shared" si="46"/>
        <v>0.00%</v>
      </c>
      <c r="AB79" s="2">
        <f t="shared" si="50"/>
        <v>0</v>
      </c>
      <c r="AC79" s="81" t="str">
        <f>TEXT('MYP Assumptions'!J72,"0.00%")&amp;", CPI"</f>
        <v>2.73%, CPI</v>
      </c>
    </row>
    <row r="80" spans="1:29" hidden="1" x14ac:dyDescent="0.25">
      <c r="A80" s="153"/>
      <c r="B80" s="1326"/>
      <c r="D80" s="108">
        <v>0</v>
      </c>
      <c r="E80" s="1342"/>
      <c r="F80" s="108"/>
      <c r="G80" s="1552" t="str">
        <f t="shared" si="53"/>
        <v>0.00%</v>
      </c>
      <c r="H80" s="108">
        <f>ROUND(D80*(LEFT(I80,5)+1),0)</f>
        <v>0</v>
      </c>
      <c r="I80" s="1350" t="str">
        <f>TEXT('MYP Assumptions'!E72,"0.00%")&amp;", CPI"</f>
        <v>3.11%, CPI</v>
      </c>
      <c r="J80" s="66"/>
      <c r="K80" s="1552" t="str">
        <f t="shared" si="42"/>
        <v>0.00%</v>
      </c>
      <c r="L80" s="108">
        <f t="shared" si="52"/>
        <v>0</v>
      </c>
      <c r="M80" s="1344" t="str">
        <f>TEXT('MYP Assumptions'!F72,"0.00%")&amp;", CPI"</f>
        <v>3.19%, CPI</v>
      </c>
      <c r="O80" s="1527" t="str">
        <f t="shared" si="43"/>
        <v>0.00%</v>
      </c>
      <c r="P80" s="2">
        <f t="shared" si="47"/>
        <v>0</v>
      </c>
      <c r="Q80" s="1240" t="str">
        <f>TEXT('MYP Assumptions'!G72,"0.00%")&amp;", CPI"</f>
        <v>2.86%, CPI</v>
      </c>
      <c r="S80" s="83" t="str">
        <f t="shared" si="44"/>
        <v>0.00%</v>
      </c>
      <c r="T80" s="2">
        <f t="shared" si="48"/>
        <v>0</v>
      </c>
      <c r="U80" s="81" t="str">
        <f>TEXT('MYP Assumptions'!H72,"0.00%")&amp;", CPI"</f>
        <v>2.73%, CPI</v>
      </c>
      <c r="W80" s="83" t="str">
        <f t="shared" si="45"/>
        <v>0.00%</v>
      </c>
      <c r="X80" s="2">
        <f t="shared" si="49"/>
        <v>0</v>
      </c>
      <c r="Y80" s="81" t="str">
        <f>TEXT('MYP Assumptions'!I72,"0.00%")&amp;", CPI"</f>
        <v>2.73%, CPI</v>
      </c>
      <c r="AA80" s="83" t="str">
        <f t="shared" si="46"/>
        <v>0.00%</v>
      </c>
      <c r="AB80" s="2">
        <f t="shared" si="50"/>
        <v>0</v>
      </c>
      <c r="AC80" s="81" t="str">
        <f>TEXT('MYP Assumptions'!J72,"0.00%")&amp;", CPI"</f>
        <v>2.73%, CPI</v>
      </c>
    </row>
    <row r="81" spans="1:29" hidden="1" x14ac:dyDescent="0.25">
      <c r="A81" s="153"/>
      <c r="B81" s="1326"/>
      <c r="D81" s="108">
        <f>'RS 3010-ALL'!AF80</f>
        <v>0</v>
      </c>
      <c r="E81" s="1342"/>
      <c r="F81" s="108"/>
      <c r="G81" s="1552" t="str">
        <f t="shared" si="53"/>
        <v>0.00%</v>
      </c>
      <c r="H81" s="108">
        <f>ROUND(D81*(LEFT(I81,5)+1),0)</f>
        <v>0</v>
      </c>
      <c r="I81" s="1350" t="str">
        <f>TEXT('MYP Assumptions'!E72,"0.00%")&amp;", CPI"</f>
        <v>3.11%, CPI</v>
      </c>
      <c r="J81" s="66"/>
      <c r="K81" s="1552" t="str">
        <f t="shared" si="42"/>
        <v>0.00%</v>
      </c>
      <c r="L81" s="108">
        <f t="shared" si="52"/>
        <v>0</v>
      </c>
      <c r="M81" s="1344" t="str">
        <f>TEXT('MYP Assumptions'!F72,"0.00%")&amp;", CPI"</f>
        <v>3.19%, CPI</v>
      </c>
      <c r="O81" s="1527" t="str">
        <f t="shared" si="43"/>
        <v>0.00%</v>
      </c>
      <c r="P81" s="2">
        <f t="shared" si="47"/>
        <v>0</v>
      </c>
      <c r="Q81" s="1240" t="str">
        <f>TEXT('MYP Assumptions'!G72,"0.00%")&amp;", CPI"</f>
        <v>2.86%, CPI</v>
      </c>
      <c r="S81" s="83" t="str">
        <f t="shared" si="44"/>
        <v>0.00%</v>
      </c>
      <c r="T81" s="2">
        <f t="shared" si="48"/>
        <v>0</v>
      </c>
      <c r="U81" s="81" t="str">
        <f>TEXT('MYP Assumptions'!H72,"0.00%")&amp;", CPI"</f>
        <v>2.73%, CPI</v>
      </c>
      <c r="W81" s="83" t="str">
        <f t="shared" si="45"/>
        <v>0.00%</v>
      </c>
      <c r="X81" s="2">
        <f t="shared" si="49"/>
        <v>0</v>
      </c>
      <c r="Y81" s="81" t="str">
        <f>TEXT('MYP Assumptions'!I72,"0.00%")&amp;", CPI"</f>
        <v>2.73%, CPI</v>
      </c>
      <c r="AA81" s="83" t="str">
        <f t="shared" si="46"/>
        <v>0.00%</v>
      </c>
      <c r="AB81" s="2">
        <f t="shared" si="50"/>
        <v>0</v>
      </c>
      <c r="AC81" s="81" t="str">
        <f>TEXT('MYP Assumptions'!J72,"0.00%")&amp;", CPI"</f>
        <v>2.73%, CPI</v>
      </c>
    </row>
    <row r="82" spans="1:29" x14ac:dyDescent="0.25">
      <c r="A82" s="154"/>
      <c r="D82" s="122">
        <f>SUM(D69:D81)</f>
        <v>240025</v>
      </c>
      <c r="E82" s="1342"/>
      <c r="F82" s="108"/>
      <c r="G82" s="1552">
        <f t="shared" si="53"/>
        <v>-0.23078845953546506</v>
      </c>
      <c r="H82" s="122">
        <f>SUM(H69:H81)</f>
        <v>184630</v>
      </c>
      <c r="I82" s="1351" t="s">
        <v>809</v>
      </c>
      <c r="J82" s="29"/>
      <c r="K82" s="1552">
        <f t="shared" si="42"/>
        <v>-0.9999955045225587</v>
      </c>
      <c r="L82" s="122">
        <f>SUM(L69:L81)</f>
        <v>0.83</v>
      </c>
      <c r="M82" s="1354"/>
      <c r="O82" s="1527">
        <f t="shared" si="43"/>
        <v>-1</v>
      </c>
      <c r="P82" s="8">
        <f>SUM(P69:P81)</f>
        <v>0</v>
      </c>
      <c r="Q82" s="1335"/>
      <c r="S82" s="83" t="str">
        <f t="shared" si="44"/>
        <v>0.00%</v>
      </c>
      <c r="T82" s="8">
        <f>SUM(T69:T81)</f>
        <v>0</v>
      </c>
      <c r="U82" s="73"/>
      <c r="W82" s="83" t="str">
        <f t="shared" si="45"/>
        <v>0.00%</v>
      </c>
      <c r="X82" s="8">
        <f>SUM(X69:X81)</f>
        <v>0</v>
      </c>
      <c r="Y82" s="73"/>
      <c r="AA82" s="83" t="str">
        <f t="shared" si="46"/>
        <v>0.00%</v>
      </c>
      <c r="AB82" s="8">
        <f>SUM(AB69:AB81)</f>
        <v>0</v>
      </c>
      <c r="AC82" s="73"/>
    </row>
    <row r="83" spans="1:29" x14ac:dyDescent="0.25">
      <c r="A83" s="153"/>
      <c r="B83" s="1323"/>
      <c r="E83" s="1249"/>
      <c r="F83" s="2"/>
      <c r="G83" s="1527"/>
      <c r="H83" s="2"/>
      <c r="I83" s="1352" t="s">
        <v>810</v>
      </c>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360890</v>
      </c>
      <c r="E85" s="1249"/>
      <c r="F85" s="2"/>
      <c r="G85" s="1527">
        <f>IF(D85=0,"0.00%",(H85-D85)/D85)</f>
        <v>-0.23644323755160854</v>
      </c>
      <c r="H85" s="8">
        <f>SUM(H82,H66,H55,H13)</f>
        <v>275560</v>
      </c>
      <c r="I85" s="1882">
        <f>+H85-D85</f>
        <v>-85330</v>
      </c>
      <c r="J85" s="29"/>
      <c r="K85" s="1527">
        <f>IF(H85=0,"0.00%",(L85-H85)/H85)</f>
        <v>-0.99999698795180714</v>
      </c>
      <c r="L85" s="8">
        <f>SUM(L82,L66,L55,L13)</f>
        <v>0.83</v>
      </c>
      <c r="M85" s="1882">
        <f>+L85-H85</f>
        <v>-275559.17</v>
      </c>
      <c r="O85" s="1527">
        <f>IF(L85=0,"0.00%",(P85-L85)/L85)</f>
        <v>-1</v>
      </c>
      <c r="P85" s="8">
        <f>SUM(P82,P66,P55,P13)</f>
        <v>0</v>
      </c>
      <c r="Q85" s="1882">
        <f>+P85-L85</f>
        <v>-0.83</v>
      </c>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-360890</v>
      </c>
      <c r="G87" s="1527">
        <f>IF(D87=0,"0.00%",(H87-D87)/D87)</f>
        <v>-0.23644323755160854</v>
      </c>
      <c r="H87" s="3">
        <f>H11-H85</f>
        <v>-275560</v>
      </c>
      <c r="I87" s="1257"/>
      <c r="J87" s="66"/>
      <c r="K87" s="1527">
        <f>IF(H87=0,"0.00%",(L87-H87)/H87)</f>
        <v>-0.99999698795180714</v>
      </c>
      <c r="L87" s="3">
        <f>L11-L85</f>
        <v>-0.83</v>
      </c>
      <c r="M87" s="1335"/>
      <c r="O87" s="1527">
        <f>IF(L87=0,"0.00%",(P87-L87)/L87)</f>
        <v>-1</v>
      </c>
      <c r="P87" s="3">
        <f>P11-P85</f>
        <v>0</v>
      </c>
      <c r="Q87" s="1335"/>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275560.82999999996</v>
      </c>
      <c r="G89" s="1527">
        <f>IF(D89=0,"0.00%",(H89-D89)/D89)</f>
        <v>-0.99999698796087977</v>
      </c>
      <c r="H89" s="3">
        <f>H7+H87</f>
        <v>0.82999999995809048</v>
      </c>
      <c r="I89" s="1257"/>
      <c r="J89" s="66"/>
      <c r="K89" s="1527">
        <f>IF(H89=0,"0.00%",(L89-H89)/H89)</f>
        <v>-1</v>
      </c>
      <c r="L89" s="3">
        <f>ROUND(L7+L87,0)</f>
        <v>0</v>
      </c>
      <c r="M89" s="1335"/>
      <c r="O89" s="1527" t="str">
        <f>IF(L89=0,"0.00%",(P89-L89)/L89)</f>
        <v>0.00%</v>
      </c>
      <c r="P89" s="3">
        <f>P7+P87</f>
        <v>0</v>
      </c>
      <c r="Q89" s="1335"/>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hidden="1" x14ac:dyDescent="0.2">
      <c r="A95" s="157"/>
      <c r="B95" s="1329"/>
      <c r="C95" s="1330" t="s">
        <v>226</v>
      </c>
      <c r="D95" s="135">
        <f>+D82+D66+D53+D41+D30</f>
        <v>348386</v>
      </c>
      <c r="E95" s="1251"/>
      <c r="G95" s="1541" t="s">
        <v>226</v>
      </c>
      <c r="H95" s="135">
        <f>+H82+H66+H53+H41+H30</f>
        <v>263845</v>
      </c>
      <c r="I95" s="1260"/>
      <c r="J95" s="136"/>
      <c r="K95" s="1541" t="s">
        <v>226</v>
      </c>
      <c r="L95" s="135">
        <f>+L82+L66+L53+L41+L30</f>
        <v>0.83</v>
      </c>
      <c r="M95" s="1338"/>
      <c r="O95" s="1541" t="s">
        <v>226</v>
      </c>
      <c r="P95" s="135">
        <f>+P82+P66+P53+P41+P30</f>
        <v>0</v>
      </c>
      <c r="Q95" s="1338"/>
      <c r="R95" s="140"/>
      <c r="S95" s="134" t="s">
        <v>226</v>
      </c>
      <c r="T95" s="135">
        <f>+T82+T66+T53+T41+T30</f>
        <v>0</v>
      </c>
      <c r="U95" s="139"/>
      <c r="W95" s="134" t="s">
        <v>226</v>
      </c>
      <c r="X95" s="135">
        <f>+X82+X66+X53+X41+X30</f>
        <v>0</v>
      </c>
      <c r="Y95" s="139"/>
      <c r="AA95" s="134" t="s">
        <v>226</v>
      </c>
      <c r="AB95" s="135">
        <f>+AB82+AB66+AB53+AB41+AB30</f>
        <v>0</v>
      </c>
      <c r="AC95" s="139"/>
    </row>
    <row r="96" spans="1:29" s="138" customFormat="1" ht="11.25" hidden="1" x14ac:dyDescent="0.2">
      <c r="A96" s="159"/>
      <c r="B96" s="1329"/>
      <c r="C96" s="1331" t="s">
        <v>227</v>
      </c>
      <c r="D96" s="143">
        <f>+D13</f>
        <v>12504</v>
      </c>
      <c r="E96" s="1252"/>
      <c r="F96" s="145"/>
      <c r="G96" s="1546" t="s">
        <v>227</v>
      </c>
      <c r="H96" s="143">
        <f>+H13</f>
        <v>11715</v>
      </c>
      <c r="I96" s="1261"/>
      <c r="J96" s="144"/>
      <c r="K96" s="1546" t="s">
        <v>227</v>
      </c>
      <c r="L96" s="143">
        <f>+L13</f>
        <v>0</v>
      </c>
      <c r="M96" s="1338"/>
      <c r="O96" s="1546" t="s">
        <v>227</v>
      </c>
      <c r="P96" s="143">
        <f>+P13</f>
        <v>0</v>
      </c>
      <c r="Q96" s="1251"/>
      <c r="R96" s="140"/>
      <c r="S96" s="142" t="s">
        <v>227</v>
      </c>
      <c r="T96" s="143">
        <f>+T13</f>
        <v>0</v>
      </c>
      <c r="W96" s="142" t="s">
        <v>227</v>
      </c>
      <c r="X96" s="143">
        <f>+X13</f>
        <v>0</v>
      </c>
      <c r="AA96" s="142" t="s">
        <v>227</v>
      </c>
      <c r="AB96" s="143">
        <f>+AB13</f>
        <v>0</v>
      </c>
    </row>
    <row r="97" spans="1:28" s="138" customFormat="1" ht="11.25" hidden="1" x14ac:dyDescent="0.2">
      <c r="A97" s="159"/>
      <c r="B97" s="1329"/>
      <c r="C97" s="1331"/>
      <c r="D97" s="146">
        <f>+D95+D96</f>
        <v>360890</v>
      </c>
      <c r="E97" s="1252"/>
      <c r="F97" s="145"/>
      <c r="G97" s="1546"/>
      <c r="H97" s="146">
        <f>+H95+H96</f>
        <v>275560</v>
      </c>
      <c r="I97" s="1261"/>
      <c r="J97" s="144"/>
      <c r="K97" s="1546"/>
      <c r="L97" s="146">
        <f>+L95+L96</f>
        <v>0.83</v>
      </c>
      <c r="M97" s="1251"/>
      <c r="O97" s="1546"/>
      <c r="P97" s="146">
        <f>+P95+P96</f>
        <v>0</v>
      </c>
      <c r="Q97" s="1251"/>
      <c r="R97" s="140"/>
      <c r="S97" s="142"/>
      <c r="T97" s="146">
        <f>+T95+T96</f>
        <v>0</v>
      </c>
      <c r="W97" s="142"/>
      <c r="X97" s="146">
        <f>+X95+X96</f>
        <v>0</v>
      </c>
      <c r="AA97" s="142"/>
      <c r="AB97" s="146">
        <f>+AB95+AB96</f>
        <v>0</v>
      </c>
    </row>
    <row r="98" spans="1:28" ht="15" hidden="1"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44" orientation="portrait" r:id="rId1"/>
  <headerFooter>
    <oddHeader>&amp;L&amp;F</oddHead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33"/>
  <sheetViews>
    <sheetView zoomScaleNormal="100" workbookViewId="0">
      <pane xSplit="3" ySplit="6" topLeftCell="D43"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9.42578125" style="1550"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11.8554687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235</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3310</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D96</f>
        <v>0</v>
      </c>
      <c r="I7" s="1315"/>
      <c r="J7" s="60"/>
      <c r="L7" s="2">
        <f>H96</f>
        <v>0</v>
      </c>
      <c r="M7" s="1315"/>
      <c r="P7" s="2">
        <f>L96</f>
        <v>0</v>
      </c>
      <c r="Q7" s="1315"/>
      <c r="T7" s="2">
        <f>P96</f>
        <v>0</v>
      </c>
      <c r="U7" s="105"/>
      <c r="X7" s="2">
        <f>T96</f>
        <v>-91241</v>
      </c>
      <c r="Y7" s="105"/>
      <c r="AB7" s="2">
        <f>X96</f>
        <v>-239053</v>
      </c>
      <c r="AC7" s="105"/>
    </row>
    <row r="8" spans="1:29" x14ac:dyDescent="0.25">
      <c r="E8" s="1315"/>
      <c r="H8" s="2"/>
      <c r="I8" s="1315"/>
      <c r="L8" s="2"/>
      <c r="M8" s="1315"/>
      <c r="Q8" s="1315"/>
      <c r="U8" s="105"/>
      <c r="Y8" s="105"/>
      <c r="AC8" s="105"/>
    </row>
    <row r="9" spans="1:29" x14ac:dyDescent="0.25">
      <c r="B9" s="1317" t="s">
        <v>52</v>
      </c>
      <c r="C9" s="1243" t="s">
        <v>686</v>
      </c>
      <c r="D9" s="2">
        <v>1644549</v>
      </c>
      <c r="E9" s="1315" t="s">
        <v>482</v>
      </c>
      <c r="G9" s="1527">
        <f>IF(D9=0,"0.00%",(H9-D9)/D9)</f>
        <v>3.4201474081951955E-2</v>
      </c>
      <c r="H9" s="3">
        <v>1700795</v>
      </c>
      <c r="I9" s="1315" t="s">
        <v>174</v>
      </c>
      <c r="J9" s="61"/>
      <c r="K9" s="1527">
        <f>IF(H9=0,"0.00%",(L9-H9)/H9)</f>
        <v>0</v>
      </c>
      <c r="L9" s="3">
        <f>+H9</f>
        <v>1700795</v>
      </c>
      <c r="M9" s="1315" t="s">
        <v>174</v>
      </c>
      <c r="O9" s="1527">
        <f>IF(L9=0,"0.00%",(P9-L9)/L9)</f>
        <v>0</v>
      </c>
      <c r="P9" s="3">
        <f>+L9</f>
        <v>1700795</v>
      </c>
      <c r="Q9" s="1315" t="s">
        <v>174</v>
      </c>
      <c r="S9" s="83">
        <f>IF(P9=0,"0.00%",(T9-P9)/P9)</f>
        <v>0</v>
      </c>
      <c r="T9" s="3">
        <f>+P9</f>
        <v>1700795</v>
      </c>
      <c r="U9" s="105"/>
      <c r="W9" s="83">
        <f>IF(T9=0,"0.00%",(X9-T9)/T9)</f>
        <v>0</v>
      </c>
      <c r="X9" s="3">
        <f>+T9</f>
        <v>1700795</v>
      </c>
      <c r="Y9" s="105"/>
      <c r="AA9" s="83">
        <f>IF(X9=0,"0.00%",(AB9-X9)/X9)</f>
        <v>0</v>
      </c>
      <c r="AB9" s="3">
        <f>+X9</f>
        <v>1700795</v>
      </c>
      <c r="AC9" s="105"/>
    </row>
    <row r="10" spans="1:29" x14ac:dyDescent="0.25">
      <c r="C10" s="1243" t="s">
        <v>687</v>
      </c>
      <c r="D10" s="2">
        <v>7500</v>
      </c>
      <c r="E10" s="1315"/>
      <c r="G10" s="1527">
        <f t="shared" ref="G10:G15" si="0">IF(D10=0,"0.00%",(H10-D10)/D10)</f>
        <v>0.37666666666666665</v>
      </c>
      <c r="H10" s="3">
        <v>10325</v>
      </c>
      <c r="I10" s="1315" t="s">
        <v>174</v>
      </c>
      <c r="J10" s="61"/>
      <c r="K10" s="1527">
        <f>IF(H10=0,"0.00%",(L10-H10)/H10)</f>
        <v>0</v>
      </c>
      <c r="L10" s="3">
        <f>+H10</f>
        <v>10325</v>
      </c>
      <c r="M10" s="1315" t="s">
        <v>174</v>
      </c>
      <c r="O10" s="1527">
        <f>IF(L10=0,"0.00%",(P10-L10)/L10)</f>
        <v>0</v>
      </c>
      <c r="P10" s="3">
        <f>+L10</f>
        <v>10325</v>
      </c>
      <c r="Q10" s="1315" t="s">
        <v>174</v>
      </c>
      <c r="S10" s="83">
        <f>IF(P10=0,"0.00%",(T10-P10)/P10)</f>
        <v>-1</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1652049</v>
      </c>
      <c r="E11" s="1315"/>
      <c r="G11" s="1527">
        <f t="shared" si="0"/>
        <v>3.5756203357164347E-2</v>
      </c>
      <c r="H11" s="8">
        <f>SUM(H9:H10)</f>
        <v>1711120</v>
      </c>
      <c r="I11" s="1882">
        <f>+H11-D11</f>
        <v>59071</v>
      </c>
      <c r="J11" s="62"/>
      <c r="K11" s="1527">
        <f>IF(H11=0,"0.00%",(L11-H11)/H11)</f>
        <v>0</v>
      </c>
      <c r="L11" s="8">
        <f>SUM(L9:L10)</f>
        <v>1711120</v>
      </c>
      <c r="M11" s="1882">
        <f>+L11-H11</f>
        <v>0</v>
      </c>
      <c r="O11" s="1527">
        <f>IF(L11=0,"0.00%",(P11-L11)/L11)</f>
        <v>0</v>
      </c>
      <c r="P11" s="8">
        <f>SUM(P9:P10)</f>
        <v>1711120</v>
      </c>
      <c r="Q11" s="1882">
        <f>+P11-L11</f>
        <v>0</v>
      </c>
      <c r="S11" s="83">
        <f>IF(P11=0,"0.00%",(T11-P11)/P11)</f>
        <v>-6.0340595633269437E-3</v>
      </c>
      <c r="T11" s="78">
        <f>SUM(T9:T10)</f>
        <v>1700795</v>
      </c>
      <c r="U11" s="105"/>
      <c r="W11" s="83">
        <f>IF(T11=0,"0.00%",(X11-T11)/T11)</f>
        <v>0</v>
      </c>
      <c r="X11" s="78">
        <f>SUM(X9:X10)</f>
        <v>1700795</v>
      </c>
      <c r="Y11" s="105"/>
      <c r="AA11" s="83">
        <f>IF(X11=0,"0.00%",(AB11-X11)/X11)</f>
        <v>0</v>
      </c>
      <c r="AB11" s="78">
        <f>SUM(AB9:AB10)</f>
        <v>1700795</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C13" s="1325" t="s">
        <v>64</v>
      </c>
      <c r="D13" s="9">
        <f>ROUND((D11-D89)-((D11-D89)/(1+$E$13)),0)</f>
        <v>58677</v>
      </c>
      <c r="E13" s="1429">
        <v>3.6999999999999998E-2</v>
      </c>
      <c r="G13" s="1527">
        <f t="shared" si="0"/>
        <v>0.23225454607427101</v>
      </c>
      <c r="H13" s="9">
        <f>ROUND((H11-H89)-((H11-H89)/(1+$I$13)),0)</f>
        <v>72305</v>
      </c>
      <c r="I13" s="1488">
        <v>4.4400000000000002E-2</v>
      </c>
      <c r="J13" s="64"/>
      <c r="K13" s="1527">
        <f>IF(H13=0,"0.00%",(L13-H13)/H13)</f>
        <v>0</v>
      </c>
      <c r="L13" s="9">
        <f>ROUND((L11-L89)-((L11-L89)/(1+$I$13)),0)</f>
        <v>72305</v>
      </c>
      <c r="M13" s="1488">
        <v>4.4400000000000002E-2</v>
      </c>
      <c r="O13" s="1527">
        <f>IF(L13=0,"0.00%",(P13-L13)/L13)</f>
        <v>0</v>
      </c>
      <c r="P13" s="9">
        <f>ROUND((P11-P89)-((P11-P89)/(1+$I$13)),0)</f>
        <v>72305</v>
      </c>
      <c r="Q13" s="1488">
        <v>4.4400000000000002E-2</v>
      </c>
      <c r="S13" s="83">
        <f>IF(P13=0,"0.00%",(T13-P13)/P13)</f>
        <v>-0.16581149298112163</v>
      </c>
      <c r="T13" s="77">
        <f>ROUND((T11-T89)-((T11-T89)/(1+$E$13)),0)</f>
        <v>60316</v>
      </c>
      <c r="U13" s="105"/>
      <c r="W13" s="83">
        <f>IF(T13=0,"0.00%",(X13-T13)/T13)</f>
        <v>0</v>
      </c>
      <c r="X13" s="77">
        <f>ROUND((X11-X89)-((X11-X89)/(1+$E$13)),0)</f>
        <v>60316</v>
      </c>
      <c r="Y13" s="105"/>
      <c r="AA13" s="83">
        <f>IF(X13=0,"0.00%",(AB13-X13)/X13)</f>
        <v>0</v>
      </c>
      <c r="AB13" s="77">
        <f>ROUND((AB11-AB89)-((AB11-AB89)/(1+$E$13)),0)</f>
        <v>60316</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1593372</v>
      </c>
      <c r="E15" s="1315"/>
      <c r="G15" s="1527">
        <f t="shared" si="0"/>
        <v>2.8520019179450875E-2</v>
      </c>
      <c r="H15" s="9">
        <f>H11-H13</f>
        <v>1638815</v>
      </c>
      <c r="I15" s="1882">
        <f>+H15-D15</f>
        <v>45443</v>
      </c>
      <c r="J15" s="62"/>
      <c r="K15" s="1527">
        <f>IF(H15=0,"0.00%",(L15-H15)/H15)</f>
        <v>0</v>
      </c>
      <c r="L15" s="9">
        <f>L11-L13</f>
        <v>1638815</v>
      </c>
      <c r="M15" s="1882">
        <f>+L15-H15</f>
        <v>0</v>
      </c>
      <c r="O15" s="1527">
        <f>IF(L15=0,"0.00%",(P15-L15)/L15)</f>
        <v>0</v>
      </c>
      <c r="P15" s="9">
        <f>P11-P13</f>
        <v>1638815</v>
      </c>
      <c r="Q15" s="1882">
        <f>+P15-L15</f>
        <v>0</v>
      </c>
      <c r="S15" s="83">
        <f>IF(P15=0,"0.00%",(T15-P15)/P15)</f>
        <v>1.0153678114979421E-3</v>
      </c>
      <c r="T15" s="19">
        <f>T11-T13</f>
        <v>1640479</v>
      </c>
      <c r="U15" s="105"/>
      <c r="W15" s="83">
        <f>IF(T15=0,"0.00%",(X15-T15)/T15)</f>
        <v>0</v>
      </c>
      <c r="X15" s="19">
        <f>X11-X13</f>
        <v>1640479</v>
      </c>
      <c r="Y15" s="105"/>
      <c r="AA15" s="83">
        <f>IF(X15=0,"0.00%",(AB15-X15)/X15)</f>
        <v>0</v>
      </c>
      <c r="AB15" s="19">
        <f>AB11-AB13</f>
        <v>1640479</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397">
        <v>0.02</v>
      </c>
      <c r="P19" s="14" t="s">
        <v>48</v>
      </c>
      <c r="Q19" s="1397">
        <v>0.02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c r="J21" s="66"/>
      <c r="K21" s="1527" t="str">
        <f t="shared" ref="K21:K27" si="3">IF(H21=0,"0.00%",(L21-H21)/H21)</f>
        <v>0.00%</v>
      </c>
      <c r="L21" s="2">
        <f>ROUND(H21*(1+M19),0)</f>
        <v>0</v>
      </c>
      <c r="M21" s="1257" t="str">
        <f>TEXT(M19,"0.0%")&amp;" = Est. S &amp; C"</f>
        <v>2.0% = Est. S &amp; C</v>
      </c>
      <c r="O21" s="1527" t="str">
        <f t="shared" ref="O21:O27" si="4">IF(L21=0,"0.00%",(P21-L21)/L21)</f>
        <v>0.00%</v>
      </c>
      <c r="P21" s="2">
        <f>ROUND(L21*(1+Q19),0)</f>
        <v>0</v>
      </c>
      <c r="Q21" s="1257" t="str">
        <f>TEXT(Q19,"0.0%")&amp;" = Est. S &amp; C"</f>
        <v>2.0% = Est. S &amp; C</v>
      </c>
      <c r="S21" s="83" t="str">
        <f t="shared" ref="S21:S27" si="5">IF(P21=0,"0.00%",(T21-P21)/P21)</f>
        <v>0.00%</v>
      </c>
      <c r="T21" s="2">
        <f>ROUND(P21*(1+U19),0)</f>
        <v>0</v>
      </c>
      <c r="U21" s="36" t="str">
        <f>TEXT(U19,"0.0%")&amp;" = Est. S &amp; C"</f>
        <v>2.0% = Est. S &amp; C</v>
      </c>
      <c r="W21" s="83" t="str">
        <f t="shared" ref="W21:W27" si="6">IF(T21=0,"0.00%",(X21-T21)/T21)</f>
        <v>0.00%</v>
      </c>
      <c r="X21" s="2">
        <f>ROUND(T21*(1+Y19),0)</f>
        <v>0</v>
      </c>
      <c r="Y21" s="36" t="str">
        <f>TEXT(Y19,"0.0%")&amp;" = Est. S &amp; C"</f>
        <v>2.0% = Est. S &amp; C</v>
      </c>
      <c r="AA21" s="83" t="str">
        <f t="shared" ref="AA21:AA27" si="7">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c r="J22" s="66"/>
      <c r="K22" s="1527" t="str">
        <f t="shared" si="3"/>
        <v>0.00%</v>
      </c>
      <c r="L22" s="2">
        <f>ROUND(H22*(1+M19),0)</f>
        <v>0</v>
      </c>
      <c r="M22" s="1257" t="str">
        <f>TEXT(M19,"0.0%")&amp;" = Est. S &amp; C"</f>
        <v>2.0% = Est. S &amp; C</v>
      </c>
      <c r="O22" s="1527" t="str">
        <f t="shared" si="4"/>
        <v>0.00%</v>
      </c>
      <c r="P22" s="2">
        <f>ROUND(L22*(1+Q19),0)</f>
        <v>0</v>
      </c>
      <c r="Q22" s="1257" t="str">
        <f>TEXT(Q19,"0.0%")&amp;" = Est. S &amp; C"</f>
        <v>2.0% = Est. S &amp; C</v>
      </c>
      <c r="S22" s="83" t="str">
        <f t="shared" si="5"/>
        <v>0.00%</v>
      </c>
      <c r="T22" s="2">
        <f>ROUND(P22*(1+U19),0)</f>
        <v>0</v>
      </c>
      <c r="U22" s="36" t="str">
        <f>TEXT(U19,"0.0%")&amp;" = Est. S &amp; C"</f>
        <v>2.0% = Est. S &amp; C</v>
      </c>
      <c r="W22" s="83" t="str">
        <f t="shared" si="6"/>
        <v>0.00%</v>
      </c>
      <c r="X22" s="2">
        <f>ROUND(T22*(1+Y19),0)</f>
        <v>0</v>
      </c>
      <c r="Y22" s="36" t="str">
        <f>TEXT(Y19,"0.0%")&amp;" = Est. S &amp; C"</f>
        <v>2.0% = Est. S &amp; C</v>
      </c>
      <c r="AA22" s="83" t="str">
        <f t="shared" si="7"/>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c r="J23" s="66"/>
      <c r="K23" s="1527" t="str">
        <f t="shared" si="3"/>
        <v>0.00%</v>
      </c>
      <c r="L23" s="2">
        <f>ROUND(H23*(1+M19),0)</f>
        <v>0</v>
      </c>
      <c r="M23" s="1257" t="str">
        <f>TEXT(M19,"0.0%")&amp;" = Est. S &amp; C"</f>
        <v>2.0% = Est. S &amp; C</v>
      </c>
      <c r="O23" s="1527" t="str">
        <f t="shared" si="4"/>
        <v>0.00%</v>
      </c>
      <c r="P23" s="2">
        <f>ROUND(L23*(1+Q19),0)</f>
        <v>0</v>
      </c>
      <c r="Q23" s="1257" t="str">
        <f>TEXT(Q19,"0.0%")&amp;" = Est. S &amp; C"</f>
        <v>2.0% = Est. S &amp; C</v>
      </c>
      <c r="S23" s="83" t="str">
        <f t="shared" si="5"/>
        <v>0.00%</v>
      </c>
      <c r="T23" s="2">
        <f>ROUND(P23*(1+U19),0)</f>
        <v>0</v>
      </c>
      <c r="U23" s="36" t="str">
        <f>TEXT(U19,"0.0%")&amp;" = Est. S &amp; C"</f>
        <v>2.0% = Est. S &amp; C</v>
      </c>
      <c r="W23" s="83" t="str">
        <f t="shared" si="6"/>
        <v>0.00%</v>
      </c>
      <c r="X23" s="2">
        <f>ROUND(T23*(1+Y19),0)</f>
        <v>0</v>
      </c>
      <c r="Y23" s="36" t="str">
        <f>TEXT(Y19,"0.0%")&amp;" = Est. S &amp; C"</f>
        <v>2.0% = Est. S &amp; C</v>
      </c>
      <c r="AA23" s="83" t="str">
        <f t="shared" si="7"/>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c r="J24" s="66"/>
      <c r="K24" s="1527" t="str">
        <f t="shared" si="3"/>
        <v>0.00%</v>
      </c>
      <c r="L24" s="2">
        <f>ROUND(H24*(1+M19),0)</f>
        <v>0</v>
      </c>
      <c r="M24" s="1257" t="str">
        <f>TEXT(M19,"0.0%")&amp;" = Est. S &amp; C"</f>
        <v>2.0% = Est. S &amp; C</v>
      </c>
      <c r="O24" s="1527" t="str">
        <f t="shared" si="4"/>
        <v>0.00%</v>
      </c>
      <c r="P24" s="2">
        <f>ROUND(L24*(1+Q19),0)</f>
        <v>0</v>
      </c>
      <c r="Q24" s="1257" t="str">
        <f>TEXT(Q19,"0.0%")&amp;" = Est. S &amp; C"</f>
        <v>2.0% = Est. S &amp; C</v>
      </c>
      <c r="S24" s="83" t="str">
        <f t="shared" si="5"/>
        <v>0.00%</v>
      </c>
      <c r="T24" s="2">
        <f>ROUND(P24*(1+U19),0)</f>
        <v>0</v>
      </c>
      <c r="U24" s="36" t="str">
        <f>TEXT(U19,"0.0%")&amp;" = Est. S &amp; C"</f>
        <v>2.0% = Est. S &amp; C</v>
      </c>
      <c r="W24" s="83" t="str">
        <f t="shared" si="6"/>
        <v>0.00%</v>
      </c>
      <c r="X24" s="2">
        <f>ROUND(T24*(1+Y19),0)</f>
        <v>0</v>
      </c>
      <c r="Y24" s="36" t="str">
        <f>TEXT(Y19,"0.0%")&amp;" = Est. S &amp; C"</f>
        <v>2.0% = Est. S &amp; C</v>
      </c>
      <c r="AA24" s="83" t="str">
        <f t="shared" si="7"/>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c r="J25" s="66"/>
      <c r="K25" s="1527" t="str">
        <f t="shared" si="3"/>
        <v>0.00%</v>
      </c>
      <c r="L25" s="2">
        <f>ROUND(H25*(1+M19),0)</f>
        <v>0</v>
      </c>
      <c r="M25" s="1257" t="str">
        <f>TEXT(M19,"0.0%")&amp;" = Est. S &amp; C"</f>
        <v>2.0% = Est. S &amp; C</v>
      </c>
      <c r="O25" s="1527" t="str">
        <f t="shared" si="4"/>
        <v>0.00%</v>
      </c>
      <c r="P25" s="2">
        <f>ROUND(L25*(1+Q19),0)</f>
        <v>0</v>
      </c>
      <c r="Q25" s="1257" t="str">
        <f>TEXT(Q19,"0.0%")&amp;" = Est. S &amp; C"</f>
        <v>2.0% = Est. S &amp; C</v>
      </c>
      <c r="S25" s="83" t="str">
        <f t="shared" si="5"/>
        <v>0.00%</v>
      </c>
      <c r="T25" s="2">
        <f>ROUND(P25*(1+U19),0)</f>
        <v>0</v>
      </c>
      <c r="U25" s="36" t="str">
        <f>TEXT(U19,"0.0%")&amp;" = Est. S &amp; C"</f>
        <v>2.0% = Est. S &amp; C</v>
      </c>
      <c r="W25" s="83" t="str">
        <f t="shared" si="6"/>
        <v>0.00%</v>
      </c>
      <c r="X25" s="2">
        <f>ROUND(T25*(1+Y19),0)</f>
        <v>0</v>
      </c>
      <c r="Y25" s="36" t="str">
        <f>TEXT(Y19,"0.0%")&amp;" = Est. S &amp; C"</f>
        <v>2.0% = Est. S &amp; C</v>
      </c>
      <c r="AA25" s="83" t="str">
        <f t="shared" si="7"/>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c r="J26" s="66"/>
      <c r="K26" s="1527" t="str">
        <f t="shared" si="3"/>
        <v>0.00%</v>
      </c>
      <c r="L26" s="2">
        <f>ROUND(H26*(1+M19),0)</f>
        <v>0</v>
      </c>
      <c r="M26" s="1257" t="str">
        <f>TEXT(M19,"0.0%")&amp;" = Est. S &amp; C"</f>
        <v>2.0% = Est. S &amp; C</v>
      </c>
      <c r="O26" s="1527" t="str">
        <f t="shared" si="4"/>
        <v>0.00%</v>
      </c>
      <c r="P26" s="2">
        <f>ROUND(L26*(1+Q19),0)</f>
        <v>0</v>
      </c>
      <c r="Q26" s="1257" t="str">
        <f>TEXT(Q19,"0.0%")&amp;" = Est. S &amp; C"</f>
        <v>2.0% = Est. S &amp; C</v>
      </c>
      <c r="S26" s="83" t="str">
        <f t="shared" si="5"/>
        <v>0.00%</v>
      </c>
      <c r="T26" s="2">
        <f>ROUND(P26*(1+U19),0)</f>
        <v>0</v>
      </c>
      <c r="U26" s="36" t="str">
        <f>TEXT(U19,"0.0%")&amp;" = Est. S &amp; C"</f>
        <v>2.0% = Est. S &amp; C</v>
      </c>
      <c r="W26" s="83" t="str">
        <f t="shared" si="6"/>
        <v>0.00%</v>
      </c>
      <c r="X26" s="2">
        <f>ROUND(T26*(1+Y19),0)</f>
        <v>0</v>
      </c>
      <c r="Y26" s="36" t="str">
        <f>TEXT(Y19,"0.0%")&amp;" = Est. S &amp; C"</f>
        <v>2.0% = Est. S &amp; C</v>
      </c>
      <c r="AA26" s="83" t="str">
        <f t="shared" si="7"/>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c r="J27" s="66"/>
      <c r="K27" s="1527" t="str">
        <f t="shared" si="3"/>
        <v>0.00%</v>
      </c>
      <c r="L27" s="2">
        <f>ROUND(H27*(1+M19),0)</f>
        <v>0</v>
      </c>
      <c r="M27" s="1257" t="str">
        <f>TEXT(M19,"0.0%")&amp;" = Est. S &amp; C"</f>
        <v>2.0% = Est. S &amp; C</v>
      </c>
      <c r="O27" s="1527" t="str">
        <f t="shared" si="4"/>
        <v>0.00%</v>
      </c>
      <c r="P27" s="2">
        <f>ROUND(L27*(1+Q19),0)</f>
        <v>0</v>
      </c>
      <c r="Q27" s="1257" t="str">
        <f>TEXT(Q19,"0.0%")&amp;" = Est. S &amp; C"</f>
        <v>2.0% = Est. S &amp; C</v>
      </c>
      <c r="S27" s="83" t="str">
        <f t="shared" si="5"/>
        <v>0.00%</v>
      </c>
      <c r="T27" s="2">
        <f>ROUND(P27*(1+U19),0)</f>
        <v>0</v>
      </c>
      <c r="U27" s="36" t="str">
        <f>TEXT(U19,"0.0%")&amp;" = Est. S &amp; C"</f>
        <v>2.0% = Est. S &amp; C</v>
      </c>
      <c r="W27" s="83" t="str">
        <f t="shared" si="6"/>
        <v>0.00%</v>
      </c>
      <c r="X27" s="2">
        <f>ROUND(T27*(1+Y19),0)</f>
        <v>0</v>
      </c>
      <c r="Y27" s="36" t="str">
        <f>TEXT(Y19,"0.0%")&amp;" = Est. S &amp; C"</f>
        <v>2.0% = Est. S &amp; C</v>
      </c>
      <c r="AA27" s="83" t="str">
        <f t="shared" si="7"/>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3"/>
      <c r="E31" s="1249"/>
      <c r="F31" s="2"/>
      <c r="H31" s="2"/>
      <c r="I31" s="1240"/>
      <c r="J31" s="66"/>
      <c r="L31" s="2"/>
      <c r="M31" s="1336"/>
      <c r="Q31" s="1336"/>
      <c r="T31" s="2"/>
      <c r="U31" s="73"/>
      <c r="X31" s="2"/>
      <c r="Y31" s="73"/>
      <c r="AB31" s="2"/>
      <c r="AC31" s="73"/>
    </row>
    <row r="32" spans="1:29" s="4" customFormat="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x14ac:dyDescent="0.25">
      <c r="A33" s="153"/>
      <c r="B33" s="1326">
        <v>2102</v>
      </c>
      <c r="C33" s="1243" t="s">
        <v>423</v>
      </c>
      <c r="D33" s="2">
        <v>56836</v>
      </c>
      <c r="E33" s="1249"/>
      <c r="F33" s="2"/>
      <c r="G33" s="1527">
        <f t="shared" ref="G33:G39" si="8">IF(D33=0,"0.00%",(H33-D33)/D33)</f>
        <v>2.6550073896825954E-2</v>
      </c>
      <c r="H33" s="2">
        <v>58345</v>
      </c>
      <c r="I33" s="1257"/>
      <c r="J33" s="66"/>
      <c r="K33" s="1527">
        <f t="shared" ref="K33:K39" si="9">IF(H33=0,"0.00%",(L33-H33)/H33)</f>
        <v>2.00017139429257E-2</v>
      </c>
      <c r="L33" s="2">
        <f>ROUND(H33*(1+M19),0)</f>
        <v>59512</v>
      </c>
      <c r="M33" s="1257" t="str">
        <f>TEXT(M19,"0.0%")&amp;" = Est. S &amp; C"</f>
        <v>2.0% = Est. S &amp; C</v>
      </c>
      <c r="O33" s="1527">
        <f t="shared" ref="O33:O39" si="10">IF(L33=0,"0.00%",(P33-L33)/L33)</f>
        <v>1.999596719989246E-2</v>
      </c>
      <c r="P33" s="2">
        <f>ROUND(L33*(1+Q19),0)</f>
        <v>60702</v>
      </c>
      <c r="Q33" s="1257" t="str">
        <f>TEXT(Q19,"0.0%")&amp;" = Est. S &amp; C"</f>
        <v>2.0% = Est. S &amp; C</v>
      </c>
      <c r="S33" s="83">
        <f t="shared" ref="S33:S39" si="11">IF(P33=0,"0.00%",(T33-P33)/P33)</f>
        <v>1.9999341043128727E-2</v>
      </c>
      <c r="T33" s="2">
        <f>ROUND(P33*(1+U19),0)</f>
        <v>61916</v>
      </c>
      <c r="U33" s="36" t="str">
        <f>TEXT(U19,"0.0%")&amp;" = Est. S &amp; C"</f>
        <v>2.0% = Est. S &amp; C</v>
      </c>
      <c r="W33" s="83">
        <f t="shared" ref="W33:W39" si="12">IF(T33=0,"0.00%",(X33-T33)/T33)</f>
        <v>1.9994831707474642E-2</v>
      </c>
      <c r="X33" s="2">
        <f>ROUND(T33*(1+Y19),0)</f>
        <v>63154</v>
      </c>
      <c r="Y33" s="36" t="str">
        <f>TEXT(Y19,"0.0%")&amp;" = Est. S &amp; C"</f>
        <v>2.0% = Est. S &amp; C</v>
      </c>
      <c r="AA33" s="83">
        <f t="shared" ref="AA33:AA39" si="13">IF(X33=0,"0.00%",(AB33-X33)/X33)</f>
        <v>1.9998733255217404E-2</v>
      </c>
      <c r="AB33" s="2">
        <f>ROUND(X33*(1+AC19),0)</f>
        <v>64417</v>
      </c>
      <c r="AC33" s="36" t="str">
        <f>TEXT(AC19,"0.0%")&amp;" = Est. S &amp; C"</f>
        <v>2.0% = Est. S &amp; C</v>
      </c>
    </row>
    <row r="34" spans="1:29" x14ac:dyDescent="0.25">
      <c r="A34" s="153"/>
      <c r="B34" s="1326">
        <v>2104</v>
      </c>
      <c r="C34" s="1243" t="s">
        <v>423</v>
      </c>
      <c r="D34" s="2">
        <v>269617</v>
      </c>
      <c r="E34" s="1249"/>
      <c r="F34" s="2"/>
      <c r="G34" s="1527">
        <f t="shared" si="8"/>
        <v>0.10144019108587367</v>
      </c>
      <c r="H34" s="2">
        <v>296967</v>
      </c>
      <c r="I34" s="1257"/>
      <c r="J34" s="66"/>
      <c r="K34" s="1527">
        <f t="shared" si="9"/>
        <v>1.9998855091643179E-2</v>
      </c>
      <c r="L34" s="2">
        <f>ROUND(H34*(1+M19),0)</f>
        <v>302906</v>
      </c>
      <c r="M34" s="1257" t="str">
        <f>TEXT(M19,"0.0%")&amp;" = Est. S &amp; C"</f>
        <v>2.0% = Est. S &amp; C</v>
      </c>
      <c r="O34" s="1527">
        <f t="shared" si="10"/>
        <v>1.9999603837494141E-2</v>
      </c>
      <c r="P34" s="2">
        <f>ROUND(L34*(1+Q19),0)</f>
        <v>308964</v>
      </c>
      <c r="Q34" s="1257" t="str">
        <f>TEXT(Q19,"0.0%")&amp;" = Est. S &amp; C"</f>
        <v>2.0% = Est. S &amp; C</v>
      </c>
      <c r="S34" s="83">
        <f t="shared" si="11"/>
        <v>1.9999093745549642E-2</v>
      </c>
      <c r="T34" s="2">
        <f>ROUND(P34*(1+U19),0)</f>
        <v>315143</v>
      </c>
      <c r="U34" s="36" t="str">
        <f>TEXT(U19,"0.0%")&amp;" = Est. S &amp; C"</f>
        <v>2.0% = Est. S &amp; C</v>
      </c>
      <c r="W34" s="83">
        <f t="shared" si="12"/>
        <v>2.0000444242772329E-2</v>
      </c>
      <c r="X34" s="2">
        <f>ROUND(T34*(1+Y19),0)</f>
        <v>321446</v>
      </c>
      <c r="Y34" s="36" t="str">
        <f>TEXT(Y19,"0.0%")&amp;" = Est. S &amp; C"</f>
        <v>2.0% = Est. S &amp; C</v>
      </c>
      <c r="AA34" s="83">
        <f t="shared" si="13"/>
        <v>2.0000248875394311E-2</v>
      </c>
      <c r="AB34" s="2">
        <f>ROUND(X34*(1+AC19),0)</f>
        <v>327875</v>
      </c>
      <c r="AC34" s="36" t="str">
        <f>TEXT(AC19,"0.0%")&amp;" = Est. S &amp; C"</f>
        <v>2.0% = Est. S &amp; C</v>
      </c>
    </row>
    <row r="35" spans="1:29" x14ac:dyDescent="0.25">
      <c r="A35" s="153"/>
      <c r="B35" s="1326">
        <v>2106</v>
      </c>
      <c r="C35" s="1243" t="s">
        <v>423</v>
      </c>
      <c r="D35" s="2">
        <v>835525</v>
      </c>
      <c r="E35" s="1249"/>
      <c r="F35" s="2"/>
      <c r="G35" s="1527">
        <f t="shared" si="8"/>
        <v>-4.6247568893809279E-2</v>
      </c>
      <c r="H35" s="2">
        <v>796884</v>
      </c>
      <c r="I35" s="1257"/>
      <c r="J35" s="66"/>
      <c r="K35" s="1527">
        <f t="shared" si="9"/>
        <v>2.0000401564092139E-2</v>
      </c>
      <c r="L35" s="2">
        <f>ROUND(H35*(1+M19),0)</f>
        <v>812822</v>
      </c>
      <c r="M35" s="1257" t="str">
        <f>TEXT(M19,"0.0%")&amp;" = Est. S &amp; C"</f>
        <v>2.0% = Est. S &amp; C</v>
      </c>
      <c r="O35" s="1527">
        <f t="shared" si="10"/>
        <v>1.9999458676069299E-2</v>
      </c>
      <c r="P35" s="2">
        <f>ROUND(L35*(1+Q19),0)</f>
        <v>829078</v>
      </c>
      <c r="Q35" s="1257" t="str">
        <f>TEXT(Q19,"0.0%")&amp;" = Est. S &amp; C"</f>
        <v>2.0% = Est. S &amp; C</v>
      </c>
      <c r="S35" s="83">
        <f t="shared" si="11"/>
        <v>2.0000530710017634E-2</v>
      </c>
      <c r="T35" s="2">
        <f>ROUND(P35*(1+U19),0)</f>
        <v>845660</v>
      </c>
      <c r="U35" s="36" t="str">
        <f>TEXT(U19,"0.0%")&amp;" = Est. S &amp; C"</f>
        <v>2.0% = Est. S &amp; C</v>
      </c>
      <c r="W35" s="83">
        <f t="shared" si="12"/>
        <v>1.9999763498332664E-2</v>
      </c>
      <c r="X35" s="2">
        <f>ROUND(T35*(1+Y19),0)</f>
        <v>862573</v>
      </c>
      <c r="Y35" s="36" t="str">
        <f>TEXT(Y19,"0.0%")&amp;" = Est. S &amp; C"</f>
        <v>2.0% = Est. S &amp; C</v>
      </c>
      <c r="AA35" s="83">
        <f t="shared" si="13"/>
        <v>1.9999466711802943E-2</v>
      </c>
      <c r="AB35" s="2">
        <f>ROUND(X35*(1+AC19),0)</f>
        <v>879824</v>
      </c>
      <c r="AC35" s="36" t="str">
        <f>TEXT(AC19,"0.0%")&amp;" = Est. S &amp; C"</f>
        <v>2.0% = Est. S &amp; C</v>
      </c>
    </row>
    <row r="36" spans="1:29" x14ac:dyDescent="0.25">
      <c r="A36" s="153"/>
      <c r="B36" s="1326">
        <v>2120</v>
      </c>
      <c r="C36" s="1243" t="s">
        <v>423</v>
      </c>
      <c r="D36" s="2">
        <v>2422</v>
      </c>
      <c r="E36" s="1249"/>
      <c r="F36" s="2"/>
      <c r="G36" s="1527">
        <f t="shared" si="8"/>
        <v>-1</v>
      </c>
      <c r="H36" s="2">
        <v>0</v>
      </c>
      <c r="I36" s="1257"/>
      <c r="J36" s="66"/>
      <c r="K36" s="1527" t="str">
        <f t="shared" si="9"/>
        <v>0.00%</v>
      </c>
      <c r="L36" s="2">
        <v>0</v>
      </c>
      <c r="M36" s="1257"/>
      <c r="O36" s="1527" t="str">
        <f t="shared" si="10"/>
        <v>0.00%</v>
      </c>
      <c r="P36" s="2">
        <f>ROUND(L36*(1+Q19),0)</f>
        <v>0</v>
      </c>
      <c r="Q36" s="1257"/>
      <c r="S36" s="83" t="str">
        <f t="shared" si="11"/>
        <v>0.00%</v>
      </c>
      <c r="T36" s="2">
        <f>ROUND(P36*(1+U19),0)</f>
        <v>0</v>
      </c>
      <c r="U36" s="36" t="str">
        <f>TEXT(U19,"0.0%")&amp;" = Est. S &amp; C"</f>
        <v>2.0% = Est. S &amp; C</v>
      </c>
      <c r="W36" s="83" t="str">
        <f t="shared" si="12"/>
        <v>0.00%</v>
      </c>
      <c r="X36" s="2">
        <f>ROUND(T36*(1+Y19),0)</f>
        <v>0</v>
      </c>
      <c r="Y36" s="36" t="str">
        <f>TEXT(Y19,"0.0%")&amp;" = Est. S &amp; C"</f>
        <v>2.0% = Est. S &amp; C</v>
      </c>
      <c r="AA36" s="83" t="str">
        <f t="shared" si="13"/>
        <v>0.00%</v>
      </c>
      <c r="AB36" s="2">
        <f>ROUND(X36*(1+AC19),0)</f>
        <v>0</v>
      </c>
      <c r="AC36" s="36" t="str">
        <f>TEXT(AC19,"0.0%")&amp;" = Est. S &amp; C"</f>
        <v>2.0% = Est. S &amp; C</v>
      </c>
    </row>
    <row r="37" spans="1:29" x14ac:dyDescent="0.25">
      <c r="A37" s="153"/>
      <c r="B37" s="1326">
        <v>2121</v>
      </c>
      <c r="C37" s="1243" t="s">
        <v>423</v>
      </c>
      <c r="D37" s="2">
        <v>29129</v>
      </c>
      <c r="E37" s="1249"/>
      <c r="F37" s="2"/>
      <c r="G37" s="1527">
        <f t="shared" si="8"/>
        <v>7.6556009475093551E-3</v>
      </c>
      <c r="H37" s="2">
        <v>29352</v>
      </c>
      <c r="I37" s="1257"/>
      <c r="J37" s="66"/>
      <c r="K37" s="1527">
        <f t="shared" si="9"/>
        <v>1.9998637230853093E-2</v>
      </c>
      <c r="L37" s="2">
        <f>ROUND(H37*(1+M19),0)</f>
        <v>29939</v>
      </c>
      <c r="M37" s="1257" t="str">
        <f>TEXT(M19,"0.0%")&amp;" = Est. S &amp; C"</f>
        <v>2.0% = Est. S &amp; C</v>
      </c>
      <c r="O37" s="1527">
        <f t="shared" si="10"/>
        <v>2.000734827482548E-2</v>
      </c>
      <c r="P37" s="2">
        <f>ROUND(L37*(1+Q19),0)</f>
        <v>30538</v>
      </c>
      <c r="Q37" s="1257" t="str">
        <f>TEXT(Q19,"0.0%")&amp;" = Est. S &amp; C"</f>
        <v>2.0% = Est. S &amp; C</v>
      </c>
      <c r="S37" s="83">
        <f t="shared" si="11"/>
        <v>2.000785906084223E-2</v>
      </c>
      <c r="T37" s="2">
        <f>ROUND(P37*(1+U19),0)</f>
        <v>31149</v>
      </c>
      <c r="U37" s="36" t="str">
        <f>TEXT(U19,"0.0%")&amp;" = Est. S &amp; C"</f>
        <v>2.0% = Est. S &amp; C</v>
      </c>
      <c r="W37" s="83">
        <f t="shared" si="12"/>
        <v>2.0000642075187005E-2</v>
      </c>
      <c r="X37" s="2">
        <f>ROUND(T37*(1+Y19),0)</f>
        <v>31772</v>
      </c>
      <c r="Y37" s="36" t="str">
        <f>TEXT(Y19,"0.0%")&amp;" = Est. S &amp; C"</f>
        <v>2.0% = Est. S &amp; C</v>
      </c>
      <c r="AA37" s="83">
        <f t="shared" si="13"/>
        <v>1.9986151328213523E-2</v>
      </c>
      <c r="AB37" s="2">
        <f>ROUND(X37*(1+AC19),0)</f>
        <v>32407</v>
      </c>
      <c r="AC37" s="36" t="str">
        <f>TEXT(AC19,"0.0%")&amp;" = Est. S &amp; C"</f>
        <v>2.0% = Est. S &amp; C</v>
      </c>
    </row>
    <row r="38" spans="1:29" x14ac:dyDescent="0.25">
      <c r="A38" s="153"/>
      <c r="B38" s="1326">
        <v>2204</v>
      </c>
      <c r="C38" s="1243" t="s">
        <v>236</v>
      </c>
      <c r="D38" s="2">
        <v>56610</v>
      </c>
      <c r="E38" s="1249"/>
      <c r="F38" s="2"/>
      <c r="G38" s="1527">
        <f t="shared" si="8"/>
        <v>1.6110227874933759E-2</v>
      </c>
      <c r="H38" s="2">
        <v>57522</v>
      </c>
      <c r="I38" s="1257"/>
      <c r="J38" s="66"/>
      <c r="K38" s="1527">
        <f t="shared" si="9"/>
        <v>1.9992350752755468E-2</v>
      </c>
      <c r="L38" s="2">
        <f>ROUND(H38*(1+M19),0)</f>
        <v>58672</v>
      </c>
      <c r="M38" s="1257" t="str">
        <f>TEXT(M19,"0.0%")&amp;" = Est. S &amp; C"</f>
        <v>2.0% = Est. S &amp; C</v>
      </c>
      <c r="O38" s="1527">
        <f t="shared" si="10"/>
        <v>1.9992500681756203E-2</v>
      </c>
      <c r="P38" s="2">
        <f>ROUND(L38*(1+Q19),0)</f>
        <v>59845</v>
      </c>
      <c r="Q38" s="1257" t="str">
        <f>TEXT(Q19,"0.0%")&amp;" = Est. S &amp; C"</f>
        <v>2.0% = Est. S &amp; C</v>
      </c>
      <c r="S38" s="83">
        <f t="shared" si="11"/>
        <v>2.0001670983373715E-2</v>
      </c>
      <c r="T38" s="2">
        <f>ROUND(P38*(1+U19),0)</f>
        <v>61042</v>
      </c>
      <c r="U38" s="36" t="str">
        <f>TEXT(U19,"0.0%")&amp;" = Est. S &amp; C"</f>
        <v>2.0% = Est. S &amp; C</v>
      </c>
      <c r="W38" s="83">
        <f t="shared" si="12"/>
        <v>2.000262114609613E-2</v>
      </c>
      <c r="X38" s="2">
        <f>ROUND(T38*(1+Y19),0)</f>
        <v>62263</v>
      </c>
      <c r="Y38" s="36" t="str">
        <f>TEXT(Y19,"0.0%")&amp;" = Est. S &amp; C"</f>
        <v>2.0% = Est. S &amp; C</v>
      </c>
      <c r="AA38" s="83">
        <f t="shared" si="13"/>
        <v>1.9995824165234568E-2</v>
      </c>
      <c r="AB38" s="2">
        <f>ROUND(X38*(1+AC19),0)</f>
        <v>63508</v>
      </c>
      <c r="AC38" s="36" t="str">
        <f>TEXT(AC19,"0.0%")&amp;" = Est. S &amp; C"</f>
        <v>2.0% = Est. S &amp; C</v>
      </c>
    </row>
    <row r="39" spans="1:29" x14ac:dyDescent="0.25">
      <c r="A39" s="153"/>
      <c r="B39" s="1326"/>
      <c r="D39" s="2">
        <v>0</v>
      </c>
      <c r="E39" s="1249"/>
      <c r="F39" s="2"/>
      <c r="G39" s="1527" t="str">
        <f t="shared" si="8"/>
        <v>0.00%</v>
      </c>
      <c r="H39" s="2"/>
      <c r="I39" s="1257"/>
      <c r="J39" s="66"/>
      <c r="K39" s="1527" t="str">
        <f t="shared" si="9"/>
        <v>0.00%</v>
      </c>
      <c r="L39" s="162">
        <v>-31139</v>
      </c>
      <c r="M39" s="1341" t="s">
        <v>275</v>
      </c>
      <c r="O39" s="1527">
        <f t="shared" si="10"/>
        <v>1.7071839172741579</v>
      </c>
      <c r="P39" s="162">
        <v>-84299</v>
      </c>
      <c r="Q39" s="1341" t="str">
        <f>+M39</f>
        <v>Transfer to RS 6500</v>
      </c>
      <c r="S39" s="83">
        <f t="shared" si="11"/>
        <v>2.0000237250738444E-2</v>
      </c>
      <c r="T39" s="2">
        <f>ROUND(P39*(1+U19),0)</f>
        <v>-85985</v>
      </c>
      <c r="U39" s="36" t="str">
        <f>TEXT(U19,"0.0%")&amp;" = Est. S &amp; C"</f>
        <v>2.0% = Est. S &amp; C</v>
      </c>
      <c r="W39" s="83">
        <f t="shared" si="12"/>
        <v>2.0003488980636159E-2</v>
      </c>
      <c r="X39" s="2">
        <f>ROUND(T39*(1+Y19),0)</f>
        <v>-87705</v>
      </c>
      <c r="Y39" s="36" t="str">
        <f>TEXT(Y19,"0.0%")&amp;" = Est. S &amp; C"</f>
        <v>2.0% = Est. S &amp; C</v>
      </c>
      <c r="AA39" s="83">
        <f t="shared" si="13"/>
        <v>1.9998859814149707E-2</v>
      </c>
      <c r="AB39" s="2">
        <f>ROUND(X39*(1+AC19),0)</f>
        <v>-89459</v>
      </c>
      <c r="AC39" s="36" t="str">
        <f>TEXT(AC19,"0.0%")&amp;" = Est. S &amp; C"</f>
        <v>2.0% = Est. S &amp; C</v>
      </c>
    </row>
    <row r="40" spans="1:29" x14ac:dyDescent="0.25">
      <c r="A40" s="153"/>
      <c r="B40" s="1326"/>
      <c r="E40" s="1249"/>
      <c r="F40" s="2"/>
      <c r="H40" s="2"/>
      <c r="I40" s="1257"/>
      <c r="J40" s="66"/>
      <c r="L40" s="2"/>
      <c r="M40" s="1335"/>
      <c r="Q40" s="1335"/>
      <c r="T40" s="2"/>
      <c r="U40" s="73"/>
      <c r="X40" s="2"/>
      <c r="Y40" s="73"/>
      <c r="AB40" s="2"/>
      <c r="AC40" s="73"/>
    </row>
    <row r="41" spans="1:29" x14ac:dyDescent="0.25">
      <c r="A41" s="154"/>
      <c r="B41" s="1326"/>
      <c r="D41" s="8">
        <f>SUM(D33:D40)</f>
        <v>1250139</v>
      </c>
      <c r="E41" s="1249"/>
      <c r="F41" s="2"/>
      <c r="G41" s="1527">
        <f>IF(D41=0,"0.00%",(H41-D41)/D41)</f>
        <v>-8.85421541124627E-3</v>
      </c>
      <c r="H41" s="8">
        <f>SUM(H33:H40)</f>
        <v>1239070</v>
      </c>
      <c r="I41" s="1882">
        <f>+H41-D41</f>
        <v>-11069</v>
      </c>
      <c r="J41" s="29"/>
      <c r="K41" s="1527">
        <f>IF(H41=0,"0.00%",(L41-H41)/H41)</f>
        <v>-5.1312678056929795E-3</v>
      </c>
      <c r="L41" s="8">
        <f>SUM(L33:L40)</f>
        <v>1232712</v>
      </c>
      <c r="M41" s="1882">
        <f>+L41-H41</f>
        <v>-6358</v>
      </c>
      <c r="O41" s="1527">
        <f>IF(L41=0,"0.00%",(P41-L41)/L41)</f>
        <v>-2.2620044260135377E-2</v>
      </c>
      <c r="P41" s="8">
        <f>SUM(P33:P40)</f>
        <v>1204828</v>
      </c>
      <c r="Q41" s="1882">
        <f>+P41-L41</f>
        <v>-27884</v>
      </c>
      <c r="S41" s="83">
        <f>IF(P41=0,"0.00%",(T41-P41)/P41)</f>
        <v>2.0000365197355971E-2</v>
      </c>
      <c r="T41" s="8">
        <f>SUM(T33:T40)</f>
        <v>1228925</v>
      </c>
      <c r="U41" s="73"/>
      <c r="W41" s="83">
        <f>IF(T41=0,"0.00%",(X41-T41)/T41)</f>
        <v>1.9999593140346238E-2</v>
      </c>
      <c r="X41" s="8">
        <f>SUM(X33:X40)</f>
        <v>1253503</v>
      </c>
      <c r="Y41" s="73"/>
      <c r="AA41" s="83">
        <f>IF(X41=0,"0.00%",(AB41-X41)/X41)</f>
        <v>1.9999154369794089E-2</v>
      </c>
      <c r="AB41" s="8">
        <f>SUM(AB33:AB40)</f>
        <v>1278572</v>
      </c>
      <c r="AC41" s="73"/>
    </row>
    <row r="42" spans="1:29" x14ac:dyDescent="0.25">
      <c r="A42" s="153"/>
      <c r="B42" s="1317" t="s">
        <v>28</v>
      </c>
      <c r="E42" s="1249"/>
      <c r="F42" s="2"/>
      <c r="H42" s="2"/>
      <c r="I42" s="1257"/>
      <c r="J42" s="66"/>
      <c r="L42" s="2"/>
      <c r="M42" s="1335"/>
      <c r="Q42" s="1335"/>
      <c r="T42" s="2"/>
      <c r="U42" s="73"/>
      <c r="X42" s="2"/>
      <c r="Y42" s="73"/>
      <c r="AB42" s="2"/>
      <c r="AC42" s="73"/>
    </row>
    <row r="43" spans="1:29" x14ac:dyDescent="0.25">
      <c r="A43" s="155"/>
      <c r="B43" s="1323" t="s">
        <v>27</v>
      </c>
      <c r="E43" s="1249"/>
      <c r="F43" s="2"/>
      <c r="H43" s="2"/>
      <c r="I43" s="1257"/>
      <c r="J43" s="66"/>
      <c r="L43" s="2"/>
      <c r="M43" s="1335"/>
      <c r="Q43" s="1335"/>
      <c r="T43" s="2"/>
      <c r="U43" s="73"/>
      <c r="X43" s="2"/>
      <c r="Y43" s="73"/>
      <c r="AB43" s="2"/>
      <c r="AC43" s="73"/>
    </row>
    <row r="44" spans="1:29" x14ac:dyDescent="0.25">
      <c r="A44" s="153"/>
      <c r="B44" s="1326" t="s">
        <v>83</v>
      </c>
      <c r="C44" s="1243" t="s">
        <v>76</v>
      </c>
      <c r="D44" s="2">
        <v>6781</v>
      </c>
      <c r="E44" s="1240" t="str">
        <f>TEXT('MYP Assumptions'!$D$52,"0.00%")&amp;", STRS rate"</f>
        <v>12.58%, STRS rate</v>
      </c>
      <c r="F44" s="2"/>
      <c r="G44" s="1527">
        <f t="shared" ref="G44:G53" si="14">IF(D44=0,"0.00%",(H44-D44)/D44)</f>
        <v>-1</v>
      </c>
      <c r="H44" s="2">
        <v>0</v>
      </c>
      <c r="I44" s="1240" t="str">
        <f>TEXT('MYP Assumptions'!E52,"0.00%")&amp;", projected STRS rate"</f>
        <v>14.43%, projected STRS rate</v>
      </c>
      <c r="J44" s="66"/>
      <c r="K44" s="1527" t="str">
        <f t="shared" ref="K44:K53" si="15">IF(H44=0,"0.00%",(L44-H44)/H44)</f>
        <v>0.00%</v>
      </c>
      <c r="L44" s="2">
        <f>ROUND(+H44*1.0185,0)</f>
        <v>0</v>
      </c>
      <c r="M44" s="1240" t="str">
        <f>TEXT('MYP Assumptions'!F52,"0.00%")&amp;", projected STRS rate"</f>
        <v>16.28%, projected STRS rate</v>
      </c>
      <c r="O44" s="1527" t="str">
        <f t="shared" ref="O44:O53" si="16">IF(L44=0,"0.00%",(P44-L44)/L44)</f>
        <v>0.00%</v>
      </c>
      <c r="P44" s="2">
        <f>ROUND(+L44*1.0185,0)</f>
        <v>0</v>
      </c>
      <c r="Q44" s="1240" t="str">
        <f>TEXT('MYP Assumptions'!G52,"0.00%")&amp;", projected STRS rate"</f>
        <v>18.13%, projected STRS rate</v>
      </c>
      <c r="S44" s="83" t="str">
        <f t="shared" ref="S44:S53" si="17">IF(P44=0,"0.00%",(T44-P44)/P44)</f>
        <v>0.00%</v>
      </c>
      <c r="T44" s="2">
        <f>ROUND(T30*LEFT(U44,6),0)</f>
        <v>0</v>
      </c>
      <c r="U44" s="81" t="str">
        <f>TEXT('MYP Assumptions'!H52,"0.00%")&amp;", projected STRS rate"</f>
        <v>19.10%, projected STRS rate</v>
      </c>
      <c r="W44" s="83" t="str">
        <f t="shared" ref="W44:W53" si="18">IF(T44=0,"0.00%",(X44-T44)/T44)</f>
        <v>0.00%</v>
      </c>
      <c r="X44" s="2">
        <f>ROUND(X30*LEFT(Y44,6),0)</f>
        <v>0</v>
      </c>
      <c r="Y44" s="81" t="str">
        <f>TEXT('MYP Assumptions'!I52,"0.00%")&amp;", projected STRS rate"</f>
        <v>19.10%, projected STRS rate</v>
      </c>
      <c r="AA44" s="83" t="str">
        <f t="shared" ref="AA44:AA53" si="19">IF(X44=0,"0.00%",(AB44-X44)/X44)</f>
        <v>0.00%</v>
      </c>
      <c r="AB44" s="2">
        <f>ROUND(AB30*LEFT(AC44,6),0)</f>
        <v>0</v>
      </c>
      <c r="AC44" s="81" t="str">
        <f>TEXT('MYP Assumptions'!J52,"0.00%")&amp;", projected STRS rate"</f>
        <v>19.10%, projected STRS rate</v>
      </c>
    </row>
    <row r="45" spans="1:29" x14ac:dyDescent="0.25">
      <c r="A45" s="153"/>
      <c r="B45" s="1326" t="s">
        <v>84</v>
      </c>
      <c r="C45" s="1243" t="s">
        <v>77</v>
      </c>
      <c r="D45" s="2">
        <v>160918</v>
      </c>
      <c r="E45" s="1240" t="str">
        <f>TEXT('MYP Assumptions'!$D$53,"0.00%")&amp;", PERS rate"</f>
        <v>13.89%, PERS rate</v>
      </c>
      <c r="F45" s="2"/>
      <c r="G45" s="1527">
        <f t="shared" si="14"/>
        <v>0.24733093873898507</v>
      </c>
      <c r="H45" s="2">
        <v>200718</v>
      </c>
      <c r="I45" s="1240" t="str">
        <f>TEXT('MYP Assumptions'!E53,"0.00%")&amp;", projected PERS rate"</f>
        <v>15.53%, projected PERS rate</v>
      </c>
      <c r="J45" s="66"/>
      <c r="K45" s="1527">
        <f t="shared" si="15"/>
        <v>3.1701192718141868E-2</v>
      </c>
      <c r="L45" s="2">
        <f>ROUND((L41-L37-L38)*LEFT(M45,6),0)-1</f>
        <v>207081</v>
      </c>
      <c r="M45" s="1240" t="str">
        <f>TEXT('MYP Assumptions'!F53,"0.00%")&amp;", projected PERS rate"</f>
        <v>18.10%, projected PERS rate</v>
      </c>
      <c r="O45" s="1527">
        <f t="shared" si="16"/>
        <v>0.11938806553957147</v>
      </c>
      <c r="P45" s="2">
        <f>ROUND((P41-P37-P38)*LEFT(Q45,6),0)-1</f>
        <v>231804</v>
      </c>
      <c r="Q45" s="1240" t="str">
        <f>TEXT('MYP Assumptions'!G53,"0.00%")&amp;", projected PERS rate"</f>
        <v>20.80%, projected PERS rate</v>
      </c>
      <c r="S45" s="83">
        <f t="shared" si="17"/>
        <v>0.26177287708581387</v>
      </c>
      <c r="T45" s="2">
        <f>ROUND(T41*LEFT(U45,6),0)</f>
        <v>292484</v>
      </c>
      <c r="U45" s="81" t="str">
        <f>TEXT('MYP Assumptions'!H53,"0.00%")&amp;", projected PERS rate"</f>
        <v>23.80%, projected PERS rate</v>
      </c>
      <c r="W45" s="83">
        <f t="shared" si="18"/>
        <v>8.0000957317323346E-2</v>
      </c>
      <c r="X45" s="2">
        <f>ROUND(X41*LEFT(Y45,6),0)</f>
        <v>315883</v>
      </c>
      <c r="Y45" s="81" t="str">
        <f>TEXT('MYP Assumptions'!I53,"0.00%")&amp;", projected PERS rate"</f>
        <v>25.20%, projected PERS rate</v>
      </c>
      <c r="AA45" s="83">
        <f t="shared" si="19"/>
        <v>5.6425955179607641E-2</v>
      </c>
      <c r="AB45" s="2">
        <f>ROUND(AB41*LEFT(AC45,6),0)</f>
        <v>333707</v>
      </c>
      <c r="AC45" s="81" t="str">
        <f>TEXT('MYP Assumptions'!J53,"0.00%")&amp;", projected PERS rate"</f>
        <v>26.10%, projected PERS rate</v>
      </c>
    </row>
    <row r="46" spans="1:29" x14ac:dyDescent="0.25">
      <c r="A46" s="153"/>
      <c r="B46" s="1326" t="s">
        <v>85</v>
      </c>
      <c r="C46" s="1243" t="s">
        <v>78</v>
      </c>
      <c r="D46" s="2">
        <v>68713</v>
      </c>
      <c r="E46" s="1240" t="str">
        <f>TEXT('MYP Assumptions'!$D$54,"0.00%")&amp;", SS rate"</f>
        <v>6.20%, SS rate</v>
      </c>
      <c r="F46" s="2"/>
      <c r="G46" s="1527">
        <f t="shared" si="14"/>
        <v>0.16609666293132305</v>
      </c>
      <c r="H46" s="2">
        <v>80126</v>
      </c>
      <c r="I46" s="1240" t="str">
        <f>TEXT('MYP Assumptions'!E54,"0.00%")&amp;", no rate change"</f>
        <v>6.20%, no rate change</v>
      </c>
      <c r="J46" s="66"/>
      <c r="K46" s="1527">
        <f t="shared" si="15"/>
        <v>-4.6152310111574273E-2</v>
      </c>
      <c r="L46" s="2">
        <f>ROUND(L41*LEFT(M46,5),0)</f>
        <v>76428</v>
      </c>
      <c r="M46" s="1240" t="str">
        <f>TEXT('MYP Assumptions'!F54,"0.00%")&amp;", no rate change"</f>
        <v>6.20%, no rate change</v>
      </c>
      <c r="O46" s="1527">
        <f t="shared" si="16"/>
        <v>-2.2622599047469515E-2</v>
      </c>
      <c r="P46" s="2">
        <f>ROUND(P41*LEFT(Q46,5),0)</f>
        <v>74699</v>
      </c>
      <c r="Q46" s="1240" t="str">
        <f>TEXT('MYP Assumptions'!G54,"0.00%")&amp;", no rate change"</f>
        <v>6.20%, no rate change</v>
      </c>
      <c r="S46" s="83">
        <f t="shared" si="17"/>
        <v>2.0000267741201356E-2</v>
      </c>
      <c r="T46" s="2">
        <f>ROUND(T41*LEFT(U46,5),0)</f>
        <v>76193</v>
      </c>
      <c r="U46" s="81" t="str">
        <f>TEXT('MYP Assumptions'!H54,"0.00%")&amp;", no rate change"</f>
        <v>6.20%, no rate change</v>
      </c>
      <c r="W46" s="83">
        <f t="shared" si="18"/>
        <v>2.0001837439134827E-2</v>
      </c>
      <c r="X46" s="2">
        <f>ROUND(X41*LEFT(Y46,5),0)</f>
        <v>77717</v>
      </c>
      <c r="Y46" s="81" t="str">
        <f>TEXT('MYP Assumptions'!I54,"0.00%")&amp;", no rate change"</f>
        <v>6.20%, no rate change</v>
      </c>
      <c r="AA46" s="83">
        <f t="shared" si="19"/>
        <v>1.9995625152797972E-2</v>
      </c>
      <c r="AB46" s="2">
        <f>ROUND(AB41*LEFT(AC46,5),0)</f>
        <v>79271</v>
      </c>
      <c r="AC46" s="81" t="str">
        <f>TEXT('MYP Assumptions'!J54,"0.00%")&amp;", no rate change"</f>
        <v>6.20%, no rate change</v>
      </c>
    </row>
    <row r="47" spans="1:29" x14ac:dyDescent="0.25">
      <c r="A47" s="153"/>
      <c r="B47" s="1326" t="s">
        <v>86</v>
      </c>
      <c r="C47" s="1243" t="s">
        <v>79</v>
      </c>
      <c r="D47" s="2">
        <v>16881</v>
      </c>
      <c r="E47" s="1240" t="str">
        <f>TEXT('MYP Assumptions'!$D$55,"0.00%")&amp;", Medicare rate"</f>
        <v>1.45%, Medicare rate</v>
      </c>
      <c r="F47" s="2"/>
      <c r="G47" s="1527">
        <f t="shared" si="14"/>
        <v>0.11012380783128961</v>
      </c>
      <c r="H47" s="2">
        <v>18740</v>
      </c>
      <c r="I47" s="1240" t="str">
        <f>TEXT('MYP Assumptions'!E55,"0.00%")&amp;", no rate change"</f>
        <v>1.45%, no rate change</v>
      </c>
      <c r="J47" s="66"/>
      <c r="K47" s="1527">
        <f t="shared" si="15"/>
        <v>-4.6211312700106727E-2</v>
      </c>
      <c r="L47" s="2">
        <f>ROUND((L41+L30)*LEFT(M47,5),0)</f>
        <v>17874</v>
      </c>
      <c r="M47" s="1240" t="str">
        <f>TEXT('MYP Assumptions'!F55,"0.00%")&amp;", no rate change"</f>
        <v>1.45%, no rate change</v>
      </c>
      <c r="O47" s="1527">
        <f t="shared" si="16"/>
        <v>-2.2602663086046772E-2</v>
      </c>
      <c r="P47" s="2">
        <f>ROUND((P41+P30)*LEFT(Q47,5),0)</f>
        <v>17470</v>
      </c>
      <c r="Q47" s="1240" t="str">
        <f>TEXT('MYP Assumptions'!G55,"0.00%")&amp;", no rate change"</f>
        <v>1.45%, no rate change</v>
      </c>
      <c r="S47" s="83">
        <f t="shared" si="17"/>
        <v>1.9977103606182028E-2</v>
      </c>
      <c r="T47" s="2">
        <f>ROUND((T41+T30)*LEFT(U47,5),0)</f>
        <v>17819</v>
      </c>
      <c r="U47" s="81" t="str">
        <f>TEXT('MYP Assumptions'!H55,"0.00%")&amp;", no rate change"</f>
        <v>1.45%, no rate change</v>
      </c>
      <c r="W47" s="83">
        <f t="shared" si="18"/>
        <v>2.0034794320668948E-2</v>
      </c>
      <c r="X47" s="2">
        <f>ROUND((X41+X30)*LEFT(Y47,5),0)</f>
        <v>18176</v>
      </c>
      <c r="Y47" s="81" t="str">
        <f>TEXT('MYP Assumptions'!I55,"0.00%")&amp;", no rate change"</f>
        <v>1.45%, no rate change</v>
      </c>
      <c r="AA47" s="83">
        <f t="shared" si="19"/>
        <v>1.9971390845070422E-2</v>
      </c>
      <c r="AB47" s="2">
        <f>ROUND((AB41+AB30)*LEFT(AC47,5),0)</f>
        <v>18539</v>
      </c>
      <c r="AC47" s="81" t="str">
        <f>TEXT('MYP Assumptions'!J55,"0.00%")&amp;", no rate change"</f>
        <v>1.45%, no rate change</v>
      </c>
    </row>
    <row r="48" spans="1:29" x14ac:dyDescent="0.25">
      <c r="A48" s="153"/>
      <c r="B48" s="1326" t="s">
        <v>87</v>
      </c>
      <c r="C48" s="1243" t="s">
        <v>80</v>
      </c>
      <c r="D48" s="2">
        <v>68755</v>
      </c>
      <c r="E48" s="1240"/>
      <c r="F48" s="2"/>
      <c r="G48" s="1527">
        <f t="shared" si="14"/>
        <v>9.0407970329430584E-2</v>
      </c>
      <c r="H48" s="2">
        <v>74971</v>
      </c>
      <c r="I48" s="1240" t="str">
        <f>TEXT('MYP Assumptions'!$M$62,"0.00%")&amp;", projected increase"</f>
        <v>7.00%, projected increase</v>
      </c>
      <c r="J48" s="66"/>
      <c r="K48" s="1527">
        <f t="shared" si="15"/>
        <v>7.00004001547265E-2</v>
      </c>
      <c r="L48" s="2">
        <f>ROUND((H48)*(LEFT(M48,5)+1),0)</f>
        <v>80219</v>
      </c>
      <c r="M48" s="1240" t="str">
        <f>TEXT('MYP Assumptions'!$M$62,"0.00%")&amp;", projected increase"</f>
        <v>7.00%, projected increase</v>
      </c>
      <c r="O48" s="1527">
        <f t="shared" si="16"/>
        <v>6.9995886261359525E-2</v>
      </c>
      <c r="P48" s="2">
        <f>ROUND((L48)*(LEFT(Q48,5)+1),0)</f>
        <v>85834</v>
      </c>
      <c r="Q48" s="1240" t="str">
        <f>TEXT('MYP Assumptions'!$M$62,"0.00%")&amp;", projected increase"</f>
        <v>7.00%, projected increase</v>
      </c>
      <c r="S48" s="83">
        <f t="shared" si="17"/>
        <v>6.9995572849919613E-2</v>
      </c>
      <c r="T48" s="2">
        <f>ROUND((P48)*(LEFT(U48,5)+1),0)</f>
        <v>91842</v>
      </c>
      <c r="U48" s="81" t="str">
        <f>TEXT('MYP Assumptions'!$M$62,"0.00%")&amp;", projected increase"</f>
        <v>7.00%, projected increase</v>
      </c>
      <c r="W48" s="83">
        <f t="shared" si="18"/>
        <v>7.0000653295877707E-2</v>
      </c>
      <c r="X48" s="2">
        <f>ROUND((T48)*(LEFT(Y48,5)+1),0)</f>
        <v>98271</v>
      </c>
      <c r="Y48" s="81" t="str">
        <f>TEXT('MYP Assumptions'!$M$62,"0.00%")&amp;", projected increase"</f>
        <v>7.00%, projected increase</v>
      </c>
      <c r="AA48" s="83">
        <f t="shared" si="19"/>
        <v>7.0000305278261135E-2</v>
      </c>
      <c r="AB48" s="2">
        <f>ROUND((X48)*(LEFT(AC48,5)+1),0)</f>
        <v>105150</v>
      </c>
      <c r="AC48" s="81" t="str">
        <f>TEXT('MYP Assumptions'!$M$62,"0.00%")&amp;", projected increase"</f>
        <v>7.00%, projected increase</v>
      </c>
    </row>
    <row r="49" spans="1:29" x14ac:dyDescent="0.25">
      <c r="A49" s="153"/>
      <c r="B49" s="1326" t="s">
        <v>88</v>
      </c>
      <c r="C49" s="1243" t="s">
        <v>81</v>
      </c>
      <c r="D49" s="2">
        <v>595</v>
      </c>
      <c r="E49" s="1240" t="str">
        <f>TEXT('MYP Assumptions'!$D$56,"0.00%")&amp;", SUI rate"</f>
        <v>0.05%, SUI rate</v>
      </c>
      <c r="F49" s="2"/>
      <c r="G49" s="1527">
        <f t="shared" si="14"/>
        <v>8.7394957983193272E-2</v>
      </c>
      <c r="H49" s="2">
        <v>647</v>
      </c>
      <c r="I49" s="1240" t="str">
        <f>TEXT('MYP Assumptions'!E56,"0.00%")&amp;", no rate change"</f>
        <v>0.05%, no rate change</v>
      </c>
      <c r="J49" s="66"/>
      <c r="K49" s="1527">
        <f t="shared" si="15"/>
        <v>-4.7913446676970631E-2</v>
      </c>
      <c r="L49" s="2">
        <f>ROUND((L41+L30)*LEFT(M49,5),0)</f>
        <v>616</v>
      </c>
      <c r="M49" s="1240" t="str">
        <f>TEXT('MYP Assumptions'!F56,"0.00%")&amp;", no rate change"</f>
        <v>0.05%, no rate change</v>
      </c>
      <c r="O49" s="1527">
        <f t="shared" si="16"/>
        <v>-2.2727272727272728E-2</v>
      </c>
      <c r="P49" s="2">
        <f>ROUND((P41+P30)*LEFT(Q49,5),0)</f>
        <v>602</v>
      </c>
      <c r="Q49" s="1240" t="str">
        <f>TEXT('MYP Assumptions'!G56,"0.00%")&amp;", no rate change"</f>
        <v>0.05%, no rate change</v>
      </c>
      <c r="S49" s="83">
        <f t="shared" si="17"/>
        <v>1.9933554817275746E-2</v>
      </c>
      <c r="T49" s="2">
        <f>ROUND((T41+T30)*LEFT(U49,5),0)</f>
        <v>614</v>
      </c>
      <c r="U49" s="81" t="str">
        <f>TEXT('MYP Assumptions'!H56,"0.00%")&amp;", no rate change"</f>
        <v>0.05%, no rate change</v>
      </c>
      <c r="W49" s="83">
        <f t="shared" si="18"/>
        <v>2.1172638436482084E-2</v>
      </c>
      <c r="X49" s="2">
        <f>ROUND((X41+X30)*LEFT(Y49,5),0)</f>
        <v>627</v>
      </c>
      <c r="Y49" s="81" t="str">
        <f>TEXT('MYP Assumptions'!I56,"0.00%")&amp;", no rate change"</f>
        <v>0.05%, no rate change</v>
      </c>
      <c r="AA49" s="83">
        <f t="shared" si="19"/>
        <v>1.9138755980861243E-2</v>
      </c>
      <c r="AB49" s="2">
        <f>ROUND((AB41+AB30)*LEFT(AC49,5),0)</f>
        <v>639</v>
      </c>
      <c r="AC49" s="81" t="str">
        <f>TEXT('MYP Assumptions'!J56,"0.00%")&amp;", no rate change"</f>
        <v>0.05%, no rate change</v>
      </c>
    </row>
    <row r="50" spans="1:29" x14ac:dyDescent="0.25">
      <c r="A50" s="153"/>
      <c r="B50" s="1326" t="s">
        <v>89</v>
      </c>
      <c r="C50" s="1243" t="s">
        <v>82</v>
      </c>
      <c r="D50" s="2">
        <v>13090</v>
      </c>
      <c r="E50" s="1240" t="str">
        <f>TEXT('MYP Assumptions'!$D$57,"0.00%")&amp;", W/C rate"</f>
        <v>1.10%, W/C rate</v>
      </c>
      <c r="F50" s="2"/>
      <c r="G50" s="1527">
        <f t="shared" si="14"/>
        <v>8.6172650878533236E-2</v>
      </c>
      <c r="H50" s="2">
        <v>14218</v>
      </c>
      <c r="I50" s="1240" t="str">
        <f>TEXT('MYP Assumptions'!E57,"0.00%")&amp;", no rate change"</f>
        <v>1.10%, no rate change</v>
      </c>
      <c r="J50" s="66"/>
      <c r="K50" s="1527">
        <f t="shared" si="15"/>
        <v>-4.6279364186242788E-2</v>
      </c>
      <c r="L50" s="2">
        <f>ROUND((L41+L30)*LEFT(M50,5),0)</f>
        <v>13560</v>
      </c>
      <c r="M50" s="1240" t="str">
        <f>TEXT('MYP Assumptions'!F57,"0.00%")&amp;", no rate change"</f>
        <v>1.10%, no rate change</v>
      </c>
      <c r="O50" s="1527">
        <f t="shared" si="16"/>
        <v>-2.2640117994100296E-2</v>
      </c>
      <c r="P50" s="2">
        <f>ROUND((P41+P30)*LEFT(Q50,5),0)</f>
        <v>13253</v>
      </c>
      <c r="Q50" s="1240" t="str">
        <f>TEXT('MYP Assumptions'!G57,"0.00%")&amp;", no rate change"</f>
        <v>1.10%, no rate change</v>
      </c>
      <c r="S50" s="83">
        <f t="shared" si="17"/>
        <v>1.9995472723157021E-2</v>
      </c>
      <c r="T50" s="2">
        <f>ROUND((T41+T30)*LEFT(U50,5),0)</f>
        <v>13518</v>
      </c>
      <c r="U50" s="81" t="str">
        <f>TEXT('MYP Assumptions'!H57,"0.00%")&amp;", no rate change"</f>
        <v>1.10%, no rate change</v>
      </c>
      <c r="W50" s="83">
        <f t="shared" si="18"/>
        <v>2.0047344281698475E-2</v>
      </c>
      <c r="X50" s="2">
        <f>ROUND((X41+X30)*LEFT(Y50,5),0)</f>
        <v>13789</v>
      </c>
      <c r="Y50" s="81" t="str">
        <f>TEXT('MYP Assumptions'!I57,"0.00%")&amp;", no rate change"</f>
        <v>1.10%, no rate change</v>
      </c>
      <c r="AA50" s="83">
        <f t="shared" si="19"/>
        <v>1.9943433171368482E-2</v>
      </c>
      <c r="AB50" s="2">
        <f>ROUND((AB41+AB30)*LEFT(AC50,5),0)</f>
        <v>14064</v>
      </c>
      <c r="AC50" s="81" t="str">
        <f>TEXT('MYP Assumptions'!J57,"0.00%")&amp;", no rate change"</f>
        <v>1.10%, no rate change</v>
      </c>
    </row>
    <row r="51" spans="1:29" x14ac:dyDescent="0.25">
      <c r="A51" s="153"/>
      <c r="B51" s="1326" t="s">
        <v>91</v>
      </c>
      <c r="C51" s="1243" t="s">
        <v>93</v>
      </c>
      <c r="D51" s="2">
        <v>0</v>
      </c>
      <c r="E51" s="1249"/>
      <c r="F51" s="2"/>
      <c r="G51" s="1527" t="str">
        <f t="shared" ref="G51" si="20">IF(D51=0,"0.00%",(H51-D51)/D51)</f>
        <v>0.00%</v>
      </c>
      <c r="H51" s="2">
        <f>D51</f>
        <v>0</v>
      </c>
      <c r="I51" s="1240"/>
      <c r="J51" s="66"/>
      <c r="K51" s="1527" t="str">
        <f t="shared" ref="K51" si="21">IF(H51=0,"0.00%",(L51-H51)/H51)</f>
        <v>0.00%</v>
      </c>
      <c r="L51" s="2">
        <f>H51</f>
        <v>0</v>
      </c>
      <c r="M51" s="1240"/>
      <c r="O51" s="1527" t="str">
        <f t="shared" ref="O51" si="22">IF(L51=0,"0.00%",(P51-L51)/L51)</f>
        <v>0.00%</v>
      </c>
      <c r="P51" s="2">
        <f>L51</f>
        <v>0</v>
      </c>
      <c r="Q51" s="1240"/>
      <c r="S51" s="83" t="str">
        <f t="shared" ref="S51" si="23">IF(P51=0,"0.00%",(T51-P51)/P51)</f>
        <v>0.00%</v>
      </c>
      <c r="T51" s="2">
        <f>P51</f>
        <v>0</v>
      </c>
      <c r="U51" s="81" t="s">
        <v>166</v>
      </c>
      <c r="W51" s="83" t="str">
        <f t="shared" ref="W51" si="24">IF(T51=0,"0.00%",(X51-T51)/T51)</f>
        <v>0.00%</v>
      </c>
      <c r="X51" s="2">
        <f>T51</f>
        <v>0</v>
      </c>
      <c r="Y51" s="81" t="s">
        <v>166</v>
      </c>
      <c r="AA51" s="83" t="str">
        <f t="shared" ref="AA51" si="25">IF(X51=0,"0.00%",(AB51-X51)/X51)</f>
        <v>0.00%</v>
      </c>
      <c r="AB51" s="2">
        <f>X51</f>
        <v>0</v>
      </c>
      <c r="AC51" s="81" t="s">
        <v>166</v>
      </c>
    </row>
    <row r="52" spans="1:29" x14ac:dyDescent="0.25">
      <c r="A52" s="153"/>
      <c r="B52" s="1326"/>
      <c r="E52" s="1249"/>
      <c r="F52" s="2"/>
      <c r="G52" s="1527"/>
      <c r="H52" s="2"/>
      <c r="I52" s="1240"/>
      <c r="J52" s="66"/>
      <c r="K52" s="1527"/>
      <c r="L52" s="2"/>
      <c r="M52" s="1240"/>
      <c r="O52" s="1527"/>
      <c r="Q52" s="1240"/>
      <c r="S52" s="83"/>
      <c r="T52" s="2"/>
      <c r="U52" s="81"/>
      <c r="W52" s="83"/>
      <c r="X52" s="2"/>
      <c r="Y52" s="81"/>
      <c r="AA52" s="83"/>
      <c r="AB52" s="2"/>
      <c r="AC52" s="81"/>
    </row>
    <row r="53" spans="1:29" x14ac:dyDescent="0.25">
      <c r="A53" s="154"/>
      <c r="B53" s="1326"/>
      <c r="D53" s="8">
        <f>SUM(D44:D52)</f>
        <v>335733</v>
      </c>
      <c r="E53" s="1249"/>
      <c r="F53" s="2"/>
      <c r="G53" s="1527">
        <f t="shared" si="14"/>
        <v>0.15990980928297188</v>
      </c>
      <c r="H53" s="8">
        <f>SUM(H44:H52)</f>
        <v>389420</v>
      </c>
      <c r="I53" s="1882">
        <f>+H53-D53</f>
        <v>53687</v>
      </c>
      <c r="J53" s="29"/>
      <c r="K53" s="1527">
        <f t="shared" si="15"/>
        <v>1.6326845051615222E-2</v>
      </c>
      <c r="L53" s="8">
        <f>SUM(L44:L52)</f>
        <v>395778</v>
      </c>
      <c r="M53" s="1882">
        <f>+L53-H53</f>
        <v>6358</v>
      </c>
      <c r="O53" s="1527">
        <f t="shared" si="16"/>
        <v>7.0453638150680425E-2</v>
      </c>
      <c r="P53" s="8">
        <f>SUM(P44:P52)</f>
        <v>423662</v>
      </c>
      <c r="Q53" s="1882">
        <f>+P53-L53</f>
        <v>27884</v>
      </c>
      <c r="S53" s="83">
        <f t="shared" si="17"/>
        <v>0.16241248920129725</v>
      </c>
      <c r="T53" s="8">
        <f>SUM(T44:T52)</f>
        <v>492470</v>
      </c>
      <c r="U53" s="73"/>
      <c r="W53" s="83">
        <f t="shared" si="18"/>
        <v>6.4964363311470749E-2</v>
      </c>
      <c r="X53" s="8">
        <f>SUM(X44:X52)</f>
        <v>524463</v>
      </c>
      <c r="Y53" s="73"/>
      <c r="AA53" s="83">
        <f t="shared" si="19"/>
        <v>5.1303905137254677E-2</v>
      </c>
      <c r="AB53" s="8">
        <f>SUM(AB44:AB52)</f>
        <v>551370</v>
      </c>
      <c r="AC53" s="73"/>
    </row>
    <row r="54" spans="1:29" x14ac:dyDescent="0.25">
      <c r="A54" s="155"/>
      <c r="B54" s="1326"/>
      <c r="E54" s="1249"/>
      <c r="F54" s="2"/>
      <c r="H54" s="2"/>
      <c r="I54" s="1257"/>
      <c r="J54" s="66"/>
      <c r="L54" s="2"/>
      <c r="M54" s="1335"/>
      <c r="Q54" s="1335"/>
      <c r="T54" s="2"/>
      <c r="U54" s="73"/>
      <c r="X54" s="2"/>
      <c r="Y54" s="73"/>
      <c r="AB54" s="2"/>
      <c r="AC54" s="73"/>
    </row>
    <row r="55" spans="1:29" x14ac:dyDescent="0.25">
      <c r="A55" s="154"/>
      <c r="B55" s="1323" t="s">
        <v>26</v>
      </c>
      <c r="D55" s="8">
        <f>SUM(D53,D41,D30)</f>
        <v>1585872</v>
      </c>
      <c r="E55" s="1249"/>
      <c r="F55" s="2"/>
      <c r="G55" s="1527">
        <f>IF(D55=0,"0.00%",(H55-D55)/D55)</f>
        <v>2.6873543388117073E-2</v>
      </c>
      <c r="H55" s="8">
        <f>SUM(H53,H41,H30)</f>
        <v>1628490</v>
      </c>
      <c r="I55" s="1882">
        <f>+H55-D55</f>
        <v>42618</v>
      </c>
      <c r="J55" s="29"/>
      <c r="K55" s="1527">
        <f>IF(H55=0,"0.00%",(L55-H55)/H55)</f>
        <v>0</v>
      </c>
      <c r="L55" s="8">
        <f>SUM(L53,L41,L30)</f>
        <v>1628490</v>
      </c>
      <c r="M55" s="1882">
        <f>+L55-H55</f>
        <v>0</v>
      </c>
      <c r="O55" s="1527">
        <f>IF(L55=0,"0.00%",(P55-L55)/L55)</f>
        <v>0</v>
      </c>
      <c r="P55" s="8">
        <f>SUM(P53,P41,P30)</f>
        <v>1628490</v>
      </c>
      <c r="Q55" s="1882">
        <f>+P55-L55</f>
        <v>0</v>
      </c>
      <c r="S55" s="83">
        <f>IF(P55=0,"0.00%",(T55-P55)/P55)</f>
        <v>5.7049782313677085E-2</v>
      </c>
      <c r="T55" s="8">
        <f>SUM(T53,T41,T30)</f>
        <v>1721395</v>
      </c>
      <c r="U55" s="73"/>
      <c r="W55" s="83">
        <f>IF(T55=0,"0.00%",(X55-T55)/T55)</f>
        <v>3.286346248246335E-2</v>
      </c>
      <c r="X55" s="8">
        <f>SUM(X53,X41,X30)</f>
        <v>1777966</v>
      </c>
      <c r="Y55" s="73"/>
      <c r="AA55" s="83">
        <f>IF(X55=0,"0.00%",(AB55-X55)/X55)</f>
        <v>2.923340491325481E-2</v>
      </c>
      <c r="AB55" s="8">
        <f>SUM(AB53,AB41,AB30)</f>
        <v>1829942</v>
      </c>
      <c r="AC55" s="73"/>
    </row>
    <row r="56" spans="1:29" x14ac:dyDescent="0.25">
      <c r="A56" s="156"/>
      <c r="E56" s="1249"/>
      <c r="F56" s="2"/>
      <c r="H56" s="2"/>
      <c r="I56" s="1257"/>
      <c r="J56" s="66"/>
      <c r="L56" s="2"/>
      <c r="M56" s="1335"/>
      <c r="Q56" s="1335"/>
      <c r="T56" s="2"/>
      <c r="U56" s="73"/>
      <c r="X56" s="2"/>
      <c r="Y56" s="73"/>
      <c r="AB56" s="2"/>
      <c r="AC56" s="73"/>
    </row>
    <row r="57" spans="1:29" x14ac:dyDescent="0.25">
      <c r="A57" s="153"/>
      <c r="E57" s="1249"/>
      <c r="F57" s="2"/>
      <c r="H57" s="2"/>
      <c r="I57" s="1257"/>
      <c r="J57" s="66"/>
      <c r="L57" s="2"/>
      <c r="M57" s="1335"/>
      <c r="Q57" s="1335"/>
      <c r="T57" s="2"/>
      <c r="U57" s="73"/>
      <c r="X57" s="2"/>
      <c r="Y57" s="73"/>
      <c r="AB57" s="2"/>
      <c r="AC57" s="73"/>
    </row>
    <row r="58" spans="1:29" x14ac:dyDescent="0.25">
      <c r="A58" s="156"/>
      <c r="B58" s="1327" t="s">
        <v>25</v>
      </c>
      <c r="C58" s="1259"/>
      <c r="E58" s="1249"/>
      <c r="F58" s="2"/>
      <c r="H58" s="2"/>
      <c r="I58" s="1257"/>
      <c r="J58" s="66"/>
      <c r="L58" s="2"/>
      <c r="M58" s="1335"/>
      <c r="Q58" s="1335"/>
      <c r="T58" s="2"/>
      <c r="U58" s="73"/>
      <c r="X58" s="2"/>
      <c r="Y58" s="73"/>
      <c r="AB58" s="2"/>
      <c r="AC58" s="73"/>
    </row>
    <row r="59" spans="1:29" hidden="1" x14ac:dyDescent="0.25">
      <c r="A59" s="153"/>
      <c r="B59" s="1326"/>
      <c r="D59" s="2">
        <v>0</v>
      </c>
      <c r="E59" s="1249"/>
      <c r="F59" s="2"/>
      <c r="G59" s="1527" t="str">
        <f t="shared" ref="G59:G66" si="26">IF(D59=0,"0.00%",(H59-D59)/D59)</f>
        <v>0.00%</v>
      </c>
      <c r="H59" s="2">
        <f t="shared" ref="H59:H65" si="27">ROUND(D59*(LEFT(I59,5)+1),0)</f>
        <v>0</v>
      </c>
      <c r="I59" s="1240" t="str">
        <f>TEXT('MYP Assumptions'!E72,"0.00%")&amp;", CPI"</f>
        <v>3.11%, CPI</v>
      </c>
      <c r="J59" s="66"/>
      <c r="K59" s="1527" t="str">
        <f t="shared" ref="K59:K66" si="28">IF(H59=0,"0.00%",(L59-H59)/H59)</f>
        <v>0.00%</v>
      </c>
      <c r="L59" s="2">
        <f>ROUND(H59*(LEFT(M59,5)+1),0)</f>
        <v>0</v>
      </c>
      <c r="M59" s="1240" t="str">
        <f>TEXT('MYP Assumptions'!F72,"0.00%")&amp;", CPI"</f>
        <v>3.19%, CPI</v>
      </c>
      <c r="O59" s="1527" t="str">
        <f t="shared" ref="O59:O66" si="29">IF(L59=0,"0.00%",(P59-L59)/L59)</f>
        <v>0.00%</v>
      </c>
      <c r="P59" s="2">
        <f>ROUND(L59*(LEFT(Q59,5)+1),0)</f>
        <v>0</v>
      </c>
      <c r="Q59" s="1240" t="str">
        <f>TEXT('MYP Assumptions'!G72,"0.00%")&amp;", CPI"</f>
        <v>2.86%, CPI</v>
      </c>
      <c r="S59" s="83" t="str">
        <f t="shared" ref="S59:S66" si="30">IF(P59=0,"0.00%",(T59-P59)/P59)</f>
        <v>0.00%</v>
      </c>
      <c r="T59" s="2">
        <f>ROUND(P59*(LEFT(U59,5)+1),0)</f>
        <v>0</v>
      </c>
      <c r="U59" s="81" t="str">
        <f>TEXT('MYP Assumptions'!H72,"0.00%")&amp;", CPI"</f>
        <v>2.73%, CPI</v>
      </c>
      <c r="W59" s="83" t="str">
        <f t="shared" ref="W59:W66" si="31">IF(T59=0,"0.00%",(X59-T59)/T59)</f>
        <v>0.00%</v>
      </c>
      <c r="X59" s="2">
        <f>ROUND(T59*(LEFT(Y59,5)+1),0)</f>
        <v>0</v>
      </c>
      <c r="Y59" s="81" t="str">
        <f>TEXT('MYP Assumptions'!I72,"0.00%")&amp;", CPI"</f>
        <v>2.73%, CPI</v>
      </c>
      <c r="AA59" s="83" t="str">
        <f t="shared" ref="AA59:AA66" si="32">IF(X59=0,"0.00%",(AB59-X59)/X59)</f>
        <v>0.00%</v>
      </c>
      <c r="AB59" s="2">
        <f>ROUND(X59*(LEFT(AC59,5)+1),0)</f>
        <v>0</v>
      </c>
      <c r="AC59" s="81" t="str">
        <f>TEXT('MYP Assumptions'!J72,"0.00%")&amp;", CPI"</f>
        <v>2.73%, CPI</v>
      </c>
    </row>
    <row r="60" spans="1:29" hidden="1" x14ac:dyDescent="0.25">
      <c r="A60" s="153"/>
      <c r="B60" s="1326"/>
      <c r="D60" s="2">
        <v>0</v>
      </c>
      <c r="E60" s="1249"/>
      <c r="F60" s="2"/>
      <c r="G60" s="1527" t="str">
        <f t="shared" si="26"/>
        <v>0.00%</v>
      </c>
      <c r="H60" s="2">
        <f t="shared" si="27"/>
        <v>0</v>
      </c>
      <c r="I60" s="1240" t="str">
        <f>TEXT('MYP Assumptions'!E72,"0.00%")&amp;", CPI"</f>
        <v>3.11%, CPI</v>
      </c>
      <c r="J60" s="66"/>
      <c r="K60" s="1527" t="str">
        <f t="shared" si="28"/>
        <v>0.00%</v>
      </c>
      <c r="L60" s="2">
        <f t="shared" ref="L60:L65" si="33">ROUND(H60*(LEFT(M60,5)+1),0)</f>
        <v>0</v>
      </c>
      <c r="M60" s="1240" t="str">
        <f>TEXT('MYP Assumptions'!F72,"0.00%")&amp;", CPI"</f>
        <v>3.19%, CPI</v>
      </c>
      <c r="O60" s="1527" t="str">
        <f t="shared" si="29"/>
        <v>0.00%</v>
      </c>
      <c r="P60" s="2">
        <f t="shared" ref="P60:P65" si="34">ROUND(L60*(LEFT(Q60,5)+1),0)</f>
        <v>0</v>
      </c>
      <c r="Q60" s="1240" t="str">
        <f>TEXT('MYP Assumptions'!G72,"0.00%")&amp;", CPI"</f>
        <v>2.86%, CPI</v>
      </c>
      <c r="S60" s="83" t="str">
        <f t="shared" si="30"/>
        <v>0.00%</v>
      </c>
      <c r="T60" s="2">
        <f t="shared" ref="T60:T65" si="35">ROUND(P60*(LEFT(U60,5)+1),0)</f>
        <v>0</v>
      </c>
      <c r="U60" s="81" t="str">
        <f>TEXT('MYP Assumptions'!H72,"0.00%")&amp;", CPI"</f>
        <v>2.73%, CPI</v>
      </c>
      <c r="W60" s="83" t="str">
        <f t="shared" si="31"/>
        <v>0.00%</v>
      </c>
      <c r="X60" s="2">
        <f t="shared" ref="X60:X65" si="36">ROUND(T60*(LEFT(Y60,5)+1),0)</f>
        <v>0</v>
      </c>
      <c r="Y60" s="81" t="str">
        <f>TEXT('MYP Assumptions'!I72,"0.00%")&amp;", CPI"</f>
        <v>2.73%, CPI</v>
      </c>
      <c r="AA60" s="83" t="str">
        <f t="shared" si="32"/>
        <v>0.00%</v>
      </c>
      <c r="AB60" s="2">
        <f t="shared" ref="AB60:AB65" si="37">ROUND(X60*(LEFT(AC60,5)+1),0)</f>
        <v>0</v>
      </c>
      <c r="AC60" s="81" t="str">
        <f>TEXT('MYP Assumptions'!J72,"0.00%")&amp;", CPI"</f>
        <v>2.73%, CPI</v>
      </c>
    </row>
    <row r="61" spans="1:29" hidden="1" x14ac:dyDescent="0.25">
      <c r="A61" s="153"/>
      <c r="B61" s="1326"/>
      <c r="D61" s="2">
        <v>0</v>
      </c>
      <c r="E61" s="1249"/>
      <c r="F61" s="2"/>
      <c r="G61" s="1527" t="str">
        <f t="shared" si="26"/>
        <v>0.00%</v>
      </c>
      <c r="H61" s="2">
        <f t="shared" si="27"/>
        <v>0</v>
      </c>
      <c r="I61" s="1240" t="str">
        <f>TEXT('MYP Assumptions'!E72,"0.00%")&amp;", CPI"</f>
        <v>3.11%, CPI</v>
      </c>
      <c r="J61" s="66"/>
      <c r="K61" s="1527" t="str">
        <f t="shared" si="28"/>
        <v>0.00%</v>
      </c>
      <c r="L61" s="2">
        <f t="shared" si="33"/>
        <v>0</v>
      </c>
      <c r="M61" s="1240" t="str">
        <f>TEXT('MYP Assumptions'!F72,"0.00%")&amp;", CPI"</f>
        <v>3.19%, CPI</v>
      </c>
      <c r="O61" s="1527" t="str">
        <f t="shared" si="29"/>
        <v>0.00%</v>
      </c>
      <c r="P61" s="2">
        <f t="shared" si="34"/>
        <v>0</v>
      </c>
      <c r="Q61" s="1240" t="str">
        <f>TEXT('MYP Assumptions'!G72,"0.00%")&amp;", CPI"</f>
        <v>2.86%, CPI</v>
      </c>
      <c r="S61" s="83" t="str">
        <f t="shared" si="30"/>
        <v>0.00%</v>
      </c>
      <c r="T61" s="2">
        <f t="shared" si="35"/>
        <v>0</v>
      </c>
      <c r="U61" s="81" t="str">
        <f>TEXT('MYP Assumptions'!H72,"0.00%")&amp;", CPI"</f>
        <v>2.73%, CPI</v>
      </c>
      <c r="W61" s="83" t="str">
        <f t="shared" si="31"/>
        <v>0.00%</v>
      </c>
      <c r="X61" s="2">
        <f t="shared" si="36"/>
        <v>0</v>
      </c>
      <c r="Y61" s="81" t="str">
        <f>TEXT('MYP Assumptions'!I72,"0.00%")&amp;", CPI"</f>
        <v>2.73%, CPI</v>
      </c>
      <c r="AA61" s="83" t="str">
        <f t="shared" si="32"/>
        <v>0.00%</v>
      </c>
      <c r="AB61" s="2">
        <f t="shared" si="37"/>
        <v>0</v>
      </c>
      <c r="AC61" s="81" t="str">
        <f>TEXT('MYP Assumptions'!J72,"0.00%")&amp;", CPI"</f>
        <v>2.73%, CPI</v>
      </c>
    </row>
    <row r="62" spans="1:29" hidden="1" x14ac:dyDescent="0.25">
      <c r="A62" s="153"/>
      <c r="B62" s="1326"/>
      <c r="D62" s="2">
        <v>0</v>
      </c>
      <c r="E62" s="1249"/>
      <c r="F62" s="2"/>
      <c r="G62" s="1527" t="str">
        <f t="shared" si="26"/>
        <v>0.00%</v>
      </c>
      <c r="H62" s="2">
        <f t="shared" si="27"/>
        <v>0</v>
      </c>
      <c r="I62" s="1240" t="str">
        <f>TEXT('MYP Assumptions'!E72,"0.00%")&amp;", CPI"</f>
        <v>3.11%, CPI</v>
      </c>
      <c r="J62" s="66"/>
      <c r="K62" s="1527" t="str">
        <f t="shared" si="28"/>
        <v>0.00%</v>
      </c>
      <c r="L62" s="2">
        <f t="shared" si="33"/>
        <v>0</v>
      </c>
      <c r="M62" s="1240" t="str">
        <f>TEXT('MYP Assumptions'!F72,"0.00%")&amp;", CPI"</f>
        <v>3.19%, CPI</v>
      </c>
      <c r="O62" s="1527" t="str">
        <f t="shared" si="29"/>
        <v>0.00%</v>
      </c>
      <c r="P62" s="2">
        <f t="shared" si="34"/>
        <v>0</v>
      </c>
      <c r="Q62" s="1240" t="str">
        <f>TEXT('MYP Assumptions'!G72,"0.00%")&amp;", CPI"</f>
        <v>2.86%, CPI</v>
      </c>
      <c r="S62" s="83" t="str">
        <f t="shared" si="30"/>
        <v>0.00%</v>
      </c>
      <c r="T62" s="2">
        <f t="shared" si="35"/>
        <v>0</v>
      </c>
      <c r="U62" s="81" t="str">
        <f>TEXT('MYP Assumptions'!H72,"0.00%")&amp;", CPI"</f>
        <v>2.73%, CPI</v>
      </c>
      <c r="W62" s="83" t="str">
        <f t="shared" si="31"/>
        <v>0.00%</v>
      </c>
      <c r="X62" s="2">
        <f t="shared" si="36"/>
        <v>0</v>
      </c>
      <c r="Y62" s="81" t="str">
        <f>TEXT('MYP Assumptions'!I72,"0.00%")&amp;", CPI"</f>
        <v>2.73%, CPI</v>
      </c>
      <c r="AA62" s="83" t="str">
        <f t="shared" si="32"/>
        <v>0.00%</v>
      </c>
      <c r="AB62" s="2">
        <f t="shared" si="37"/>
        <v>0</v>
      </c>
      <c r="AC62" s="81" t="str">
        <f>TEXT('MYP Assumptions'!J72,"0.00%")&amp;", CPI"</f>
        <v>2.73%, CPI</v>
      </c>
    </row>
    <row r="63" spans="1:29" hidden="1" x14ac:dyDescent="0.25">
      <c r="A63" s="153"/>
      <c r="B63" s="1326"/>
      <c r="D63" s="2">
        <v>0</v>
      </c>
      <c r="E63" s="1249"/>
      <c r="F63" s="2"/>
      <c r="G63" s="1527" t="str">
        <f t="shared" si="26"/>
        <v>0.00%</v>
      </c>
      <c r="H63" s="2">
        <f t="shared" si="27"/>
        <v>0</v>
      </c>
      <c r="I63" s="1240" t="str">
        <f>TEXT('MYP Assumptions'!E72,"0.00%")&amp;", CPI"</f>
        <v>3.11%, CPI</v>
      </c>
      <c r="J63" s="66"/>
      <c r="K63" s="1527" t="str">
        <f t="shared" si="28"/>
        <v>0.00%</v>
      </c>
      <c r="L63" s="2">
        <f t="shared" si="33"/>
        <v>0</v>
      </c>
      <c r="M63" s="1240" t="str">
        <f>TEXT('MYP Assumptions'!F72,"0.00%")&amp;", CPI"</f>
        <v>3.19%, CPI</v>
      </c>
      <c r="O63" s="1527" t="str">
        <f t="shared" si="29"/>
        <v>0.00%</v>
      </c>
      <c r="P63" s="2">
        <f t="shared" si="34"/>
        <v>0</v>
      </c>
      <c r="Q63" s="1240" t="str">
        <f>TEXT('MYP Assumptions'!G72,"0.00%")&amp;", CPI"</f>
        <v>2.86%, CPI</v>
      </c>
      <c r="S63" s="83" t="str">
        <f t="shared" si="30"/>
        <v>0.00%</v>
      </c>
      <c r="T63" s="2">
        <f t="shared" si="35"/>
        <v>0</v>
      </c>
      <c r="U63" s="81" t="str">
        <f>TEXT('MYP Assumptions'!H72,"0.00%")&amp;", CPI"</f>
        <v>2.73%, CPI</v>
      </c>
      <c r="W63" s="83" t="str">
        <f t="shared" si="31"/>
        <v>0.00%</v>
      </c>
      <c r="X63" s="2">
        <f t="shared" si="36"/>
        <v>0</v>
      </c>
      <c r="Y63" s="81" t="str">
        <f>TEXT('MYP Assumptions'!I72,"0.00%")&amp;", CPI"</f>
        <v>2.73%, CPI</v>
      </c>
      <c r="AA63" s="83" t="str">
        <f t="shared" si="32"/>
        <v>0.00%</v>
      </c>
      <c r="AB63" s="2">
        <f t="shared" si="37"/>
        <v>0</v>
      </c>
      <c r="AC63" s="81" t="str">
        <f>TEXT('MYP Assumptions'!J72,"0.00%")&amp;", CPI"</f>
        <v>2.73%, CPI</v>
      </c>
    </row>
    <row r="64" spans="1:29" hidden="1" x14ac:dyDescent="0.25">
      <c r="A64" s="153"/>
      <c r="B64" s="1326"/>
      <c r="D64" s="2">
        <v>0</v>
      </c>
      <c r="E64" s="1249"/>
      <c r="F64" s="2"/>
      <c r="G64" s="1527" t="str">
        <f t="shared" si="26"/>
        <v>0.00%</v>
      </c>
      <c r="H64" s="2">
        <f t="shared" si="27"/>
        <v>0</v>
      </c>
      <c r="I64" s="1240" t="str">
        <f>TEXT('MYP Assumptions'!E72,"0.00%")&amp;", CPI"</f>
        <v>3.11%, CPI</v>
      </c>
      <c r="J64" s="66"/>
      <c r="K64" s="1527" t="str">
        <f t="shared" si="28"/>
        <v>0.00%</v>
      </c>
      <c r="L64" s="2">
        <f t="shared" si="33"/>
        <v>0</v>
      </c>
      <c r="M64" s="1240" t="str">
        <f>TEXT('MYP Assumptions'!F72,"0.00%")&amp;", CPI"</f>
        <v>3.19%, CPI</v>
      </c>
      <c r="O64" s="1527" t="str">
        <f t="shared" si="29"/>
        <v>0.00%</v>
      </c>
      <c r="P64" s="2">
        <f t="shared" si="34"/>
        <v>0</v>
      </c>
      <c r="Q64" s="1240" t="str">
        <f>TEXT('MYP Assumptions'!G72,"0.00%")&amp;", CPI"</f>
        <v>2.86%, CPI</v>
      </c>
      <c r="S64" s="83" t="str">
        <f t="shared" si="30"/>
        <v>0.00%</v>
      </c>
      <c r="T64" s="2">
        <f t="shared" si="35"/>
        <v>0</v>
      </c>
      <c r="U64" s="81" t="str">
        <f>TEXT('MYP Assumptions'!H72,"0.00%")&amp;", CPI"</f>
        <v>2.73%, CPI</v>
      </c>
      <c r="W64" s="83" t="str">
        <f t="shared" si="31"/>
        <v>0.00%</v>
      </c>
      <c r="X64" s="2">
        <f t="shared" si="36"/>
        <v>0</v>
      </c>
      <c r="Y64" s="81" t="str">
        <f>TEXT('MYP Assumptions'!I72,"0.00%")&amp;", CPI"</f>
        <v>2.73%, CPI</v>
      </c>
      <c r="AA64" s="83" t="str">
        <f t="shared" si="32"/>
        <v>0.00%</v>
      </c>
      <c r="AB64" s="2">
        <f t="shared" si="37"/>
        <v>0</v>
      </c>
      <c r="AC64" s="81" t="str">
        <f>TEXT('MYP Assumptions'!J72,"0.00%")&amp;", CPI"</f>
        <v>2.73%, CPI</v>
      </c>
    </row>
    <row r="65" spans="1:29" hidden="1" x14ac:dyDescent="0.25">
      <c r="A65" s="153"/>
      <c r="B65" s="1326"/>
      <c r="C65" s="1328"/>
      <c r="D65" s="2">
        <v>0</v>
      </c>
      <c r="E65" s="1249"/>
      <c r="F65" s="2"/>
      <c r="G65" s="1527" t="str">
        <f t="shared" si="26"/>
        <v>0.00%</v>
      </c>
      <c r="H65" s="2">
        <f t="shared" si="27"/>
        <v>0</v>
      </c>
      <c r="I65" s="1240" t="str">
        <f>TEXT('MYP Assumptions'!E72,"0.00%")&amp;", CPI"</f>
        <v>3.11%, CPI</v>
      </c>
      <c r="J65" s="66"/>
      <c r="K65" s="1527" t="str">
        <f t="shared" si="28"/>
        <v>0.00%</v>
      </c>
      <c r="L65" s="2">
        <f t="shared" si="33"/>
        <v>0</v>
      </c>
      <c r="M65" s="1240" t="str">
        <f>TEXT('MYP Assumptions'!F72,"0.00%")&amp;", CPI"</f>
        <v>3.19%, CPI</v>
      </c>
      <c r="O65" s="1527" t="str">
        <f t="shared" si="29"/>
        <v>0.00%</v>
      </c>
      <c r="P65" s="2">
        <f t="shared" si="34"/>
        <v>0</v>
      </c>
      <c r="Q65" s="1240" t="str">
        <f>TEXT('MYP Assumptions'!G72,"0.00%")&amp;", CPI"</f>
        <v>2.86%, CPI</v>
      </c>
      <c r="S65" s="83" t="str">
        <f t="shared" si="30"/>
        <v>0.00%</v>
      </c>
      <c r="T65" s="2">
        <f t="shared" si="35"/>
        <v>0</v>
      </c>
      <c r="U65" s="81" t="str">
        <f>TEXT('MYP Assumptions'!H72,"0.00%")&amp;", CPI"</f>
        <v>2.73%, CPI</v>
      </c>
      <c r="W65" s="83" t="str">
        <f t="shared" si="31"/>
        <v>0.00%</v>
      </c>
      <c r="X65" s="2">
        <f t="shared" si="36"/>
        <v>0</v>
      </c>
      <c r="Y65" s="81" t="str">
        <f>TEXT('MYP Assumptions'!I72,"0.00%")&amp;", CPI"</f>
        <v>2.73%, CPI</v>
      </c>
      <c r="AA65" s="83" t="str">
        <f t="shared" si="32"/>
        <v>0.00%</v>
      </c>
      <c r="AB65" s="2">
        <f t="shared" si="37"/>
        <v>0</v>
      </c>
      <c r="AC65" s="81" t="str">
        <f>TEXT('MYP Assumptions'!J72,"0.00%")&amp;", CPI"</f>
        <v>2.73%, CPI</v>
      </c>
    </row>
    <row r="66" spans="1:29" x14ac:dyDescent="0.25">
      <c r="A66" s="154"/>
      <c r="B66" s="1243"/>
      <c r="D66" s="8">
        <f>SUM(D59:D65)</f>
        <v>0</v>
      </c>
      <c r="E66" s="1249"/>
      <c r="F66" s="2"/>
      <c r="G66" s="1527" t="str">
        <f t="shared" si="26"/>
        <v>0.00%</v>
      </c>
      <c r="H66" s="8">
        <f>SUM(H59:H65)</f>
        <v>0</v>
      </c>
      <c r="I66" s="1258"/>
      <c r="J66" s="29"/>
      <c r="K66" s="1527" t="str">
        <f t="shared" si="28"/>
        <v>0.00%</v>
      </c>
      <c r="L66" s="8">
        <f>SUM(L59:L65)</f>
        <v>0</v>
      </c>
      <c r="M66" s="1335"/>
      <c r="O66" s="1527" t="str">
        <f t="shared" si="29"/>
        <v>0.00%</v>
      </c>
      <c r="P66" s="8">
        <f>SUM(P59:P65)</f>
        <v>0</v>
      </c>
      <c r="Q66" s="1335"/>
      <c r="S66" s="83" t="str">
        <f t="shared" si="30"/>
        <v>0.00%</v>
      </c>
      <c r="T66" s="8">
        <f>SUM(T59:T65)</f>
        <v>0</v>
      </c>
      <c r="U66" s="73"/>
      <c r="W66" s="83" t="str">
        <f t="shared" si="31"/>
        <v>0.00%</v>
      </c>
      <c r="X66" s="8">
        <f>SUM(X59:X65)</f>
        <v>0</v>
      </c>
      <c r="Y66" s="73"/>
      <c r="AA66" s="83" t="str">
        <f t="shared" si="32"/>
        <v>0.00%</v>
      </c>
      <c r="AB66" s="8">
        <f>SUM(AB59:AB65)</f>
        <v>0</v>
      </c>
      <c r="AC66" s="73"/>
    </row>
    <row r="67" spans="1:29" x14ac:dyDescent="0.25">
      <c r="A67" s="153"/>
      <c r="E67" s="1249"/>
      <c r="F67" s="2"/>
      <c r="H67" s="2"/>
      <c r="I67" s="1257"/>
      <c r="J67" s="66"/>
      <c r="L67" s="2"/>
      <c r="M67" s="1335"/>
      <c r="Q67" s="1335"/>
      <c r="T67" s="2"/>
      <c r="U67" s="73"/>
      <c r="X67" s="2"/>
      <c r="Y67" s="73"/>
      <c r="AB67" s="2"/>
      <c r="AC67" s="73"/>
    </row>
    <row r="68" spans="1:29" s="4" customFormat="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hidden="1" x14ac:dyDescent="0.25">
      <c r="A69" s="153"/>
      <c r="B69" s="1326"/>
      <c r="D69" s="2">
        <v>0</v>
      </c>
      <c r="E69" s="1249"/>
      <c r="F69" s="2"/>
      <c r="G69" s="1527" t="str">
        <f t="shared" ref="G69:G74" si="38">IF(D69=0,"0.00%",(H69-D69)/D69)</f>
        <v>0.00%</v>
      </c>
      <c r="H69" s="2">
        <f>ROUND(D69*(LEFT(I69,5)+1),0)</f>
        <v>0</v>
      </c>
      <c r="I69" s="1240" t="str">
        <f>TEXT('MYP Assumptions'!E72,"0.00%")&amp;", CPI"</f>
        <v>3.11%, CPI</v>
      </c>
      <c r="J69" s="66"/>
      <c r="K69" s="1527" t="str">
        <f t="shared" ref="K69:K82" si="39">IF(H69=0,"0.00%",(L69-H69)/H69)</f>
        <v>0.00%</v>
      </c>
      <c r="L69" s="2">
        <f>ROUND(H69*(LEFT(M69,5)+1),0)</f>
        <v>0</v>
      </c>
      <c r="M69" s="1240" t="str">
        <f>TEXT('MYP Assumptions'!F72,"0.00%")&amp;", CPI"</f>
        <v>3.19%, CPI</v>
      </c>
      <c r="O69" s="1527" t="str">
        <f t="shared" ref="O69:O82" si="40">IF(L69=0,"0.00%",(P69-L69)/L69)</f>
        <v>0.00%</v>
      </c>
      <c r="P69" s="2">
        <f>ROUND(L69*(LEFT(Q69,5)+1),0)</f>
        <v>0</v>
      </c>
      <c r="Q69" s="1240" t="str">
        <f>TEXT('MYP Assumptions'!G72,"0.00%")&amp;", CPI"</f>
        <v>2.86%, CPI</v>
      </c>
      <c r="S69" s="83" t="str">
        <f t="shared" ref="S69:S82" si="41">IF(P69=0,"0.00%",(T69-P69)/P69)</f>
        <v>0.00%</v>
      </c>
      <c r="T69" s="2">
        <f>ROUND(P69*(LEFT(U69,5)+1),0)</f>
        <v>0</v>
      </c>
      <c r="U69" s="81" t="str">
        <f>TEXT('MYP Assumptions'!H72,"0.00%")&amp;", CPI"</f>
        <v>2.73%, CPI</v>
      </c>
      <c r="W69" s="83" t="str">
        <f t="shared" ref="W69:W82" si="42">IF(T69=0,"0.00%",(X69-T69)/T69)</f>
        <v>0.00%</v>
      </c>
      <c r="X69" s="2">
        <f>ROUND(T69*(LEFT(Y69,5)+1),0)</f>
        <v>0</v>
      </c>
      <c r="Y69" s="81" t="str">
        <f>TEXT('MYP Assumptions'!I72,"0.00%")&amp;", CPI"</f>
        <v>2.73%, CPI</v>
      </c>
      <c r="AA69" s="83" t="str">
        <f t="shared" ref="AA69:AA82" si="43">IF(X69=0,"0.00%",(AB69-X69)/X69)</f>
        <v>0.00%</v>
      </c>
      <c r="AB69" s="2">
        <f>ROUND(X69*(LEFT(AC69,5)+1),0)</f>
        <v>0</v>
      </c>
      <c r="AC69" s="81" t="str">
        <f>TEXT('MYP Assumptions'!J72,"0.00%")&amp;", CPI"</f>
        <v>2.73%, CPI</v>
      </c>
    </row>
    <row r="70" spans="1:29" hidden="1" x14ac:dyDescent="0.25">
      <c r="A70" s="153"/>
      <c r="B70" s="1326"/>
      <c r="D70" s="2">
        <v>0</v>
      </c>
      <c r="E70" s="1249"/>
      <c r="F70" s="2"/>
      <c r="G70" s="1527" t="str">
        <f t="shared" si="38"/>
        <v>0.00%</v>
      </c>
      <c r="H70" s="2">
        <f>ROUND(D70*(LEFT(I70,5)+1),0)</f>
        <v>0</v>
      </c>
      <c r="I70" s="1240" t="str">
        <f>TEXT('MYP Assumptions'!E72,"0.00%")&amp;", CPI"</f>
        <v>3.11%, CPI</v>
      </c>
      <c r="J70" s="66"/>
      <c r="K70" s="1527" t="str">
        <f t="shared" si="39"/>
        <v>0.00%</v>
      </c>
      <c r="L70" s="2">
        <f t="shared" ref="L70:L81" si="44">ROUND(H70*(LEFT(M70,5)+1),0)</f>
        <v>0</v>
      </c>
      <c r="M70" s="1240" t="str">
        <f>TEXT('MYP Assumptions'!F72,"0.00%")&amp;", CPI"</f>
        <v>3.19%, CPI</v>
      </c>
      <c r="O70" s="1527" t="str">
        <f t="shared" si="40"/>
        <v>0.00%</v>
      </c>
      <c r="P70" s="2">
        <f t="shared" ref="P70:P81" si="45">ROUND(L70*(LEFT(Q70,5)+1),0)</f>
        <v>0</v>
      </c>
      <c r="Q70" s="1240" t="str">
        <f>TEXT('MYP Assumptions'!G72,"0.00%")&amp;", CPI"</f>
        <v>2.86%, CPI</v>
      </c>
      <c r="S70" s="83" t="str">
        <f t="shared" si="41"/>
        <v>0.00%</v>
      </c>
      <c r="T70" s="2">
        <f t="shared" ref="T70:T81" si="46">ROUND(P70*(LEFT(U70,5)+1),0)</f>
        <v>0</v>
      </c>
      <c r="U70" s="81" t="str">
        <f>TEXT('MYP Assumptions'!H72,"0.00%")&amp;", CPI"</f>
        <v>2.73%, CPI</v>
      </c>
      <c r="W70" s="83" t="str">
        <f t="shared" si="42"/>
        <v>0.00%</v>
      </c>
      <c r="X70" s="2">
        <f t="shared" ref="X70:X81" si="47">ROUND(T70*(LEFT(Y70,5)+1),0)</f>
        <v>0</v>
      </c>
      <c r="Y70" s="81" t="str">
        <f>TEXT('MYP Assumptions'!I72,"0.00%")&amp;", CPI"</f>
        <v>2.73%, CPI</v>
      </c>
      <c r="AA70" s="83" t="str">
        <f t="shared" si="43"/>
        <v>0.00%</v>
      </c>
      <c r="AB70" s="2">
        <f t="shared" ref="AB70:AB81" si="48">ROUND(X70*(LEFT(AC70,5)+1),0)</f>
        <v>0</v>
      </c>
      <c r="AC70" s="81" t="str">
        <f>TEXT('MYP Assumptions'!J72,"0.00%")&amp;", CPI"</f>
        <v>2.73%, CPI</v>
      </c>
    </row>
    <row r="71" spans="1:29" hidden="1" x14ac:dyDescent="0.25">
      <c r="A71" s="153"/>
      <c r="B71" s="1326"/>
      <c r="D71" s="2">
        <v>0</v>
      </c>
      <c r="E71" s="1249"/>
      <c r="F71" s="2"/>
      <c r="G71" s="1527" t="str">
        <f t="shared" si="38"/>
        <v>0.00%</v>
      </c>
      <c r="H71" s="2">
        <f t="shared" ref="H71:H76" si="49">ROUND(D71*(LEFT(I71,5)+1),0)</f>
        <v>0</v>
      </c>
      <c r="I71" s="1240" t="str">
        <f>TEXT('MYP Assumptions'!E72,"0.00%")&amp;", CPI"</f>
        <v>3.11%, CPI</v>
      </c>
      <c r="J71" s="66"/>
      <c r="K71" s="1527" t="str">
        <f t="shared" si="39"/>
        <v>0.00%</v>
      </c>
      <c r="L71" s="2">
        <f t="shared" si="44"/>
        <v>0</v>
      </c>
      <c r="M71" s="1240" t="str">
        <f>TEXT('MYP Assumptions'!F72,"0.00%")&amp;", CPI"</f>
        <v>3.19%, CPI</v>
      </c>
      <c r="O71" s="1527" t="str">
        <f t="shared" si="40"/>
        <v>0.00%</v>
      </c>
      <c r="P71" s="2">
        <f t="shared" si="45"/>
        <v>0</v>
      </c>
      <c r="Q71" s="1240" t="str">
        <f>TEXT('MYP Assumptions'!G72,"0.00%")&amp;", CPI"</f>
        <v>2.86%, CPI</v>
      </c>
      <c r="S71" s="83" t="str">
        <f t="shared" si="41"/>
        <v>0.00%</v>
      </c>
      <c r="T71" s="2">
        <f t="shared" si="46"/>
        <v>0</v>
      </c>
      <c r="U71" s="81" t="str">
        <f>TEXT('MYP Assumptions'!H72,"0.00%")&amp;", CPI"</f>
        <v>2.73%, CPI</v>
      </c>
      <c r="W71" s="83" t="str">
        <f t="shared" si="42"/>
        <v>0.00%</v>
      </c>
      <c r="X71" s="2">
        <f t="shared" si="47"/>
        <v>0</v>
      </c>
      <c r="Y71" s="81" t="str">
        <f>TEXT('MYP Assumptions'!I72,"0.00%")&amp;", CPI"</f>
        <v>2.73%, CPI</v>
      </c>
      <c r="AA71" s="83" t="str">
        <f t="shared" si="43"/>
        <v>0.00%</v>
      </c>
      <c r="AB71" s="2">
        <f t="shared" si="48"/>
        <v>0</v>
      </c>
      <c r="AC71" s="81" t="str">
        <f>TEXT('MYP Assumptions'!J72,"0.00%")&amp;", CPI"</f>
        <v>2.73%, CPI</v>
      </c>
    </row>
    <row r="72" spans="1:29" hidden="1" x14ac:dyDescent="0.25">
      <c r="A72" s="153"/>
      <c r="B72" s="1326"/>
      <c r="D72" s="2">
        <v>0</v>
      </c>
      <c r="E72" s="1249"/>
      <c r="F72" s="2"/>
      <c r="G72" s="1527" t="str">
        <f t="shared" si="38"/>
        <v>0.00%</v>
      </c>
      <c r="H72" s="2">
        <f t="shared" si="49"/>
        <v>0</v>
      </c>
      <c r="I72" s="1240" t="str">
        <f>TEXT('MYP Assumptions'!E72,"0.00%")&amp;", CPI"</f>
        <v>3.11%, CPI</v>
      </c>
      <c r="J72" s="66"/>
      <c r="K72" s="1527" t="str">
        <f t="shared" si="39"/>
        <v>0.00%</v>
      </c>
      <c r="L72" s="2">
        <f t="shared" si="44"/>
        <v>0</v>
      </c>
      <c r="M72" s="1240" t="str">
        <f>TEXT('MYP Assumptions'!F72,"0.00%")&amp;", CPI"</f>
        <v>3.19%, CPI</v>
      </c>
      <c r="O72" s="1527" t="str">
        <f t="shared" si="40"/>
        <v>0.00%</v>
      </c>
      <c r="P72" s="2">
        <f t="shared" si="45"/>
        <v>0</v>
      </c>
      <c r="Q72" s="1240" t="str">
        <f>TEXT('MYP Assumptions'!G72,"0.00%")&amp;", CPI"</f>
        <v>2.86%, CPI</v>
      </c>
      <c r="S72" s="83" t="str">
        <f t="shared" si="41"/>
        <v>0.00%</v>
      </c>
      <c r="T72" s="2">
        <f t="shared" si="46"/>
        <v>0</v>
      </c>
      <c r="U72" s="81" t="str">
        <f>TEXT('MYP Assumptions'!H72,"0.00%")&amp;", CPI"</f>
        <v>2.73%, CPI</v>
      </c>
      <c r="W72" s="83" t="str">
        <f t="shared" si="42"/>
        <v>0.00%</v>
      </c>
      <c r="X72" s="2">
        <f t="shared" si="47"/>
        <v>0</v>
      </c>
      <c r="Y72" s="81" t="str">
        <f>TEXT('MYP Assumptions'!I72,"0.00%")&amp;", CPI"</f>
        <v>2.73%, CPI</v>
      </c>
      <c r="AA72" s="83" t="str">
        <f t="shared" si="43"/>
        <v>0.00%</v>
      </c>
      <c r="AB72" s="2">
        <f t="shared" si="48"/>
        <v>0</v>
      </c>
      <c r="AC72" s="81" t="str">
        <f>TEXT('MYP Assumptions'!J72,"0.00%")&amp;", CPI"</f>
        <v>2.73%, CPI</v>
      </c>
    </row>
    <row r="73" spans="1:29" hidden="1" x14ac:dyDescent="0.25">
      <c r="A73" s="153"/>
      <c r="B73" s="1326"/>
      <c r="D73" s="2">
        <v>0</v>
      </c>
      <c r="E73" s="1249"/>
      <c r="F73" s="2"/>
      <c r="G73" s="1527" t="str">
        <f t="shared" si="38"/>
        <v>0.00%</v>
      </c>
      <c r="H73" s="2">
        <f t="shared" si="49"/>
        <v>0</v>
      </c>
      <c r="I73" s="1240" t="str">
        <f>TEXT('MYP Assumptions'!E72,"0.00%")&amp;", CPI"</f>
        <v>3.11%, CPI</v>
      </c>
      <c r="J73" s="66"/>
      <c r="K73" s="1527" t="str">
        <f t="shared" si="39"/>
        <v>0.00%</v>
      </c>
      <c r="L73" s="2">
        <f t="shared" si="44"/>
        <v>0</v>
      </c>
      <c r="M73" s="1240" t="str">
        <f>TEXT('MYP Assumptions'!F72,"0.00%")&amp;", CPI"</f>
        <v>3.19%, CPI</v>
      </c>
      <c r="O73" s="1527" t="str">
        <f t="shared" si="40"/>
        <v>0.00%</v>
      </c>
      <c r="P73" s="2">
        <f t="shared" si="45"/>
        <v>0</v>
      </c>
      <c r="Q73" s="1240" t="str">
        <f>TEXT('MYP Assumptions'!G72,"0.00%")&amp;", CPI"</f>
        <v>2.86%, CPI</v>
      </c>
      <c r="S73" s="83" t="str">
        <f t="shared" si="41"/>
        <v>0.00%</v>
      </c>
      <c r="T73" s="2">
        <f t="shared" si="46"/>
        <v>0</v>
      </c>
      <c r="U73" s="81" t="str">
        <f>TEXT('MYP Assumptions'!H72,"0.00%")&amp;", CPI"</f>
        <v>2.73%, CPI</v>
      </c>
      <c r="W73" s="83" t="str">
        <f t="shared" si="42"/>
        <v>0.00%</v>
      </c>
      <c r="X73" s="2">
        <f t="shared" si="47"/>
        <v>0</v>
      </c>
      <c r="Y73" s="81" t="str">
        <f>TEXT('MYP Assumptions'!I72,"0.00%")&amp;", CPI"</f>
        <v>2.73%, CPI</v>
      </c>
      <c r="AA73" s="83" t="str">
        <f t="shared" si="43"/>
        <v>0.00%</v>
      </c>
      <c r="AB73" s="2">
        <f t="shared" si="48"/>
        <v>0</v>
      </c>
      <c r="AC73" s="81" t="str">
        <f>TEXT('MYP Assumptions'!J72,"0.00%")&amp;", CPI"</f>
        <v>2.73%, CPI</v>
      </c>
    </row>
    <row r="74" spans="1:29" hidden="1" x14ac:dyDescent="0.25">
      <c r="A74" s="153"/>
      <c r="B74" s="1326"/>
      <c r="D74" s="2">
        <v>0</v>
      </c>
      <c r="E74" s="1249"/>
      <c r="F74" s="2"/>
      <c r="G74" s="1527" t="str">
        <f t="shared" si="38"/>
        <v>0.00%</v>
      </c>
      <c r="H74" s="2">
        <f t="shared" si="49"/>
        <v>0</v>
      </c>
      <c r="I74" s="1240" t="str">
        <f>TEXT('MYP Assumptions'!E72,"0.00%")&amp;", CPI"</f>
        <v>3.11%, CPI</v>
      </c>
      <c r="J74" s="66"/>
      <c r="K74" s="1527" t="str">
        <f t="shared" si="39"/>
        <v>0.00%</v>
      </c>
      <c r="L74" s="2">
        <f t="shared" si="44"/>
        <v>0</v>
      </c>
      <c r="M74" s="1240" t="str">
        <f>TEXT('MYP Assumptions'!F72,"0.00%")&amp;", CPI"</f>
        <v>3.19%, CPI</v>
      </c>
      <c r="O74" s="1527" t="str">
        <f t="shared" si="40"/>
        <v>0.00%</v>
      </c>
      <c r="P74" s="2">
        <f t="shared" si="45"/>
        <v>0</v>
      </c>
      <c r="Q74" s="1240" t="str">
        <f>TEXT('MYP Assumptions'!G72,"0.00%")&amp;", CPI"</f>
        <v>2.86%, CPI</v>
      </c>
      <c r="S74" s="83" t="str">
        <f t="shared" si="41"/>
        <v>0.00%</v>
      </c>
      <c r="T74" s="2">
        <f t="shared" si="46"/>
        <v>0</v>
      </c>
      <c r="U74" s="81" t="str">
        <f>TEXT('MYP Assumptions'!H72,"0.00%")&amp;", CPI"</f>
        <v>2.73%, CPI</v>
      </c>
      <c r="W74" s="83" t="str">
        <f t="shared" si="42"/>
        <v>0.00%</v>
      </c>
      <c r="X74" s="2">
        <f t="shared" si="47"/>
        <v>0</v>
      </c>
      <c r="Y74" s="81" t="str">
        <f>TEXT('MYP Assumptions'!I72,"0.00%")&amp;", CPI"</f>
        <v>2.73%, CPI</v>
      </c>
      <c r="AA74" s="83" t="str">
        <f t="shared" si="43"/>
        <v>0.00%</v>
      </c>
      <c r="AB74" s="2">
        <f t="shared" si="48"/>
        <v>0</v>
      </c>
      <c r="AC74" s="81" t="str">
        <f>TEXT('MYP Assumptions'!J72,"0.00%")&amp;", CPI"</f>
        <v>2.73%, CPI</v>
      </c>
    </row>
    <row r="75" spans="1:29" hidden="1" x14ac:dyDescent="0.25">
      <c r="A75" s="153"/>
      <c r="B75" s="1326"/>
      <c r="D75" s="2">
        <v>0</v>
      </c>
      <c r="E75" s="1249"/>
      <c r="F75" s="2"/>
      <c r="G75" s="1527" t="str">
        <f>IF(D75=0,"0.00%",(H75-D75)/D75)</f>
        <v>0.00%</v>
      </c>
      <c r="H75" s="2">
        <f t="shared" si="49"/>
        <v>0</v>
      </c>
      <c r="I75" s="1240" t="str">
        <f>TEXT('MYP Assumptions'!E72,"0.00%")&amp;", CPI"</f>
        <v>3.11%, CPI</v>
      </c>
      <c r="J75" s="66"/>
      <c r="K75" s="1527" t="str">
        <f t="shared" si="39"/>
        <v>0.00%</v>
      </c>
      <c r="L75" s="2">
        <f t="shared" si="44"/>
        <v>0</v>
      </c>
      <c r="M75" s="1240" t="str">
        <f>TEXT('MYP Assumptions'!F72,"0.00%")&amp;", CPI"</f>
        <v>3.19%, CPI</v>
      </c>
      <c r="O75" s="1527" t="str">
        <f t="shared" si="40"/>
        <v>0.00%</v>
      </c>
      <c r="P75" s="2">
        <f t="shared" si="45"/>
        <v>0</v>
      </c>
      <c r="Q75" s="1240" t="str">
        <f>TEXT('MYP Assumptions'!G72,"0.00%")&amp;", CPI"</f>
        <v>2.86%, CPI</v>
      </c>
      <c r="S75" s="83" t="str">
        <f t="shared" si="41"/>
        <v>0.00%</v>
      </c>
      <c r="T75" s="2">
        <f t="shared" si="46"/>
        <v>0</v>
      </c>
      <c r="U75" s="81" t="str">
        <f>TEXT('MYP Assumptions'!H72,"0.00%")&amp;", CPI"</f>
        <v>2.73%, CPI</v>
      </c>
      <c r="W75" s="83" t="str">
        <f t="shared" si="42"/>
        <v>0.00%</v>
      </c>
      <c r="X75" s="2">
        <f t="shared" si="47"/>
        <v>0</v>
      </c>
      <c r="Y75" s="81" t="str">
        <f>TEXT('MYP Assumptions'!I72,"0.00%")&amp;", CPI"</f>
        <v>2.73%, CPI</v>
      </c>
      <c r="AA75" s="83" t="str">
        <f t="shared" si="43"/>
        <v>0.00%</v>
      </c>
      <c r="AB75" s="2">
        <f t="shared" si="48"/>
        <v>0</v>
      </c>
      <c r="AC75" s="81" t="str">
        <f>TEXT('MYP Assumptions'!J72,"0.00%")&amp;", CPI"</f>
        <v>2.73%, CPI</v>
      </c>
    </row>
    <row r="76" spans="1:29" hidden="1" x14ac:dyDescent="0.25">
      <c r="A76" s="153"/>
      <c r="B76" s="1326"/>
      <c r="D76" s="2">
        <v>0</v>
      </c>
      <c r="E76" s="1249"/>
      <c r="F76" s="2"/>
      <c r="G76" s="1527" t="str">
        <f t="shared" ref="G76:G82" si="50">IF(D76=0,"0.00%",(H76-D76)/D76)</f>
        <v>0.00%</v>
      </c>
      <c r="H76" s="2">
        <f t="shared" si="49"/>
        <v>0</v>
      </c>
      <c r="I76" s="1240" t="str">
        <f>TEXT('MYP Assumptions'!E72,"0.00%")&amp;", CPI"</f>
        <v>3.11%, CPI</v>
      </c>
      <c r="J76" s="66"/>
      <c r="K76" s="1527" t="str">
        <f t="shared" si="39"/>
        <v>0.00%</v>
      </c>
      <c r="L76" s="2">
        <f t="shared" si="44"/>
        <v>0</v>
      </c>
      <c r="M76" s="1240" t="str">
        <f>TEXT('MYP Assumptions'!F72,"0.00%")&amp;", CPI"</f>
        <v>3.19%, CPI</v>
      </c>
      <c r="O76" s="1527" t="str">
        <f t="shared" si="40"/>
        <v>0.00%</v>
      </c>
      <c r="P76" s="2">
        <f t="shared" si="45"/>
        <v>0</v>
      </c>
      <c r="Q76" s="1240" t="str">
        <f>TEXT('MYP Assumptions'!G72,"0.00%")&amp;", CPI"</f>
        <v>2.86%, CPI</v>
      </c>
      <c r="S76" s="83" t="str">
        <f t="shared" si="41"/>
        <v>0.00%</v>
      </c>
      <c r="T76" s="2">
        <f t="shared" si="46"/>
        <v>0</v>
      </c>
      <c r="U76" s="81" t="str">
        <f>TEXT('MYP Assumptions'!H72,"0.00%")&amp;", CPI"</f>
        <v>2.73%, CPI</v>
      </c>
      <c r="W76" s="83" t="str">
        <f t="shared" si="42"/>
        <v>0.00%</v>
      </c>
      <c r="X76" s="2">
        <f t="shared" si="47"/>
        <v>0</v>
      </c>
      <c r="Y76" s="81" t="str">
        <f>TEXT('MYP Assumptions'!I72,"0.00%")&amp;", CPI"</f>
        <v>2.73%, CPI</v>
      </c>
      <c r="AA76" s="83" t="str">
        <f t="shared" si="43"/>
        <v>0.00%</v>
      </c>
      <c r="AB76" s="2">
        <f t="shared" si="48"/>
        <v>0</v>
      </c>
      <c r="AC76" s="81" t="str">
        <f>TEXT('MYP Assumptions'!J72,"0.00%")&amp;", CPI"</f>
        <v>2.73%, CPI</v>
      </c>
    </row>
    <row r="77" spans="1:29" hidden="1" x14ac:dyDescent="0.25">
      <c r="A77" s="153"/>
      <c r="B77" s="1326"/>
      <c r="D77" s="2">
        <v>0</v>
      </c>
      <c r="E77" s="1249"/>
      <c r="F77" s="2"/>
      <c r="G77" s="1527" t="str">
        <f t="shared" si="50"/>
        <v>0.00%</v>
      </c>
      <c r="H77" s="2">
        <f>ROUND(D77*(LEFT(I77,5)+1),0)</f>
        <v>0</v>
      </c>
      <c r="I77" s="1240" t="str">
        <f>TEXT('MYP Assumptions'!E72,"0.00%")&amp;", CPI"</f>
        <v>3.11%, CPI</v>
      </c>
      <c r="J77" s="66"/>
      <c r="K77" s="1527" t="str">
        <f t="shared" si="39"/>
        <v>0.00%</v>
      </c>
      <c r="L77" s="2">
        <f t="shared" si="44"/>
        <v>0</v>
      </c>
      <c r="M77" s="1240" t="str">
        <f>TEXT('MYP Assumptions'!F72,"0.00%")&amp;", CPI"</f>
        <v>3.19%, CPI</v>
      </c>
      <c r="O77" s="1527" t="str">
        <f t="shared" si="40"/>
        <v>0.00%</v>
      </c>
      <c r="P77" s="2">
        <f t="shared" si="45"/>
        <v>0</v>
      </c>
      <c r="Q77" s="1240" t="str">
        <f>TEXT('MYP Assumptions'!G72,"0.00%")&amp;", CPI"</f>
        <v>2.86%, CPI</v>
      </c>
      <c r="S77" s="83" t="str">
        <f t="shared" si="41"/>
        <v>0.00%</v>
      </c>
      <c r="T77" s="2">
        <f t="shared" si="46"/>
        <v>0</v>
      </c>
      <c r="U77" s="81" t="str">
        <f>TEXT('MYP Assumptions'!H72,"0.00%")&amp;", CPI"</f>
        <v>2.73%, CPI</v>
      </c>
      <c r="W77" s="83" t="str">
        <f t="shared" si="42"/>
        <v>0.00%</v>
      </c>
      <c r="X77" s="2">
        <f t="shared" si="47"/>
        <v>0</v>
      </c>
      <c r="Y77" s="81" t="str">
        <f>TEXT('MYP Assumptions'!I72,"0.00%")&amp;", CPI"</f>
        <v>2.73%, CPI</v>
      </c>
      <c r="AA77" s="83" t="str">
        <f t="shared" si="43"/>
        <v>0.00%</v>
      </c>
      <c r="AB77" s="2">
        <f t="shared" si="48"/>
        <v>0</v>
      </c>
      <c r="AC77" s="81" t="str">
        <f>TEXT('MYP Assumptions'!J72,"0.00%")&amp;", CPI"</f>
        <v>2.73%, CPI</v>
      </c>
    </row>
    <row r="78" spans="1:29" hidden="1" x14ac:dyDescent="0.25">
      <c r="A78" s="153"/>
      <c r="B78" s="1326"/>
      <c r="D78" s="2">
        <v>0</v>
      </c>
      <c r="E78" s="1249"/>
      <c r="F78" s="2"/>
      <c r="G78" s="1527" t="str">
        <f t="shared" si="50"/>
        <v>0.00%</v>
      </c>
      <c r="H78" s="2">
        <f>ROUND(D78*(LEFT(I78,5)+1),0)</f>
        <v>0</v>
      </c>
      <c r="I78" s="1240" t="str">
        <f>TEXT('MYP Assumptions'!E72,"0.00%")&amp;", CPI"</f>
        <v>3.11%, CPI</v>
      </c>
      <c r="J78" s="66"/>
      <c r="K78" s="1527" t="str">
        <f t="shared" si="39"/>
        <v>0.00%</v>
      </c>
      <c r="L78" s="2">
        <f t="shared" si="44"/>
        <v>0</v>
      </c>
      <c r="M78" s="1240" t="str">
        <f>TEXT('MYP Assumptions'!F72,"0.00%")&amp;", CPI"</f>
        <v>3.19%, CPI</v>
      </c>
      <c r="O78" s="1527" t="str">
        <f t="shared" si="40"/>
        <v>0.00%</v>
      </c>
      <c r="P78" s="2">
        <f t="shared" si="45"/>
        <v>0</v>
      </c>
      <c r="Q78" s="1240" t="str">
        <f>TEXT('MYP Assumptions'!G72,"0.00%")&amp;", CPI"</f>
        <v>2.86%, CPI</v>
      </c>
      <c r="S78" s="83" t="str">
        <f t="shared" si="41"/>
        <v>0.00%</v>
      </c>
      <c r="T78" s="2">
        <f t="shared" si="46"/>
        <v>0</v>
      </c>
      <c r="U78" s="81" t="str">
        <f>TEXT('MYP Assumptions'!H72,"0.00%")&amp;", CPI"</f>
        <v>2.73%, CPI</v>
      </c>
      <c r="W78" s="83" t="str">
        <f t="shared" si="42"/>
        <v>0.00%</v>
      </c>
      <c r="X78" s="2">
        <f t="shared" si="47"/>
        <v>0</v>
      </c>
      <c r="Y78" s="81" t="str">
        <f>TEXT('MYP Assumptions'!I72,"0.00%")&amp;", CPI"</f>
        <v>2.73%, CPI</v>
      </c>
      <c r="AA78" s="83" t="str">
        <f t="shared" si="43"/>
        <v>0.00%</v>
      </c>
      <c r="AB78" s="2">
        <f t="shared" si="48"/>
        <v>0</v>
      </c>
      <c r="AC78" s="81" t="str">
        <f>TEXT('MYP Assumptions'!J72,"0.00%")&amp;", CPI"</f>
        <v>2.73%, CPI</v>
      </c>
    </row>
    <row r="79" spans="1:29" hidden="1" x14ac:dyDescent="0.25">
      <c r="A79" s="153"/>
      <c r="B79" s="1326"/>
      <c r="D79" s="2">
        <v>0</v>
      </c>
      <c r="E79" s="1249"/>
      <c r="F79" s="2"/>
      <c r="G79" s="1527" t="str">
        <f t="shared" si="50"/>
        <v>0.00%</v>
      </c>
      <c r="H79" s="2">
        <f>ROUND(D79*(LEFT(I79,5)+1),0)</f>
        <v>0</v>
      </c>
      <c r="I79" s="1240" t="str">
        <f>TEXT('MYP Assumptions'!E72,"0.00%")&amp;", CPI"</f>
        <v>3.11%, CPI</v>
      </c>
      <c r="J79" s="66"/>
      <c r="K79" s="1527" t="str">
        <f t="shared" si="39"/>
        <v>0.00%</v>
      </c>
      <c r="L79" s="2">
        <f t="shared" si="44"/>
        <v>0</v>
      </c>
      <c r="M79" s="1240" t="str">
        <f>TEXT('MYP Assumptions'!F72,"0.00%")&amp;", CPI"</f>
        <v>3.19%, CPI</v>
      </c>
      <c r="O79" s="1527" t="str">
        <f t="shared" si="40"/>
        <v>0.00%</v>
      </c>
      <c r="P79" s="2">
        <f t="shared" si="45"/>
        <v>0</v>
      </c>
      <c r="Q79" s="1240" t="str">
        <f>TEXT('MYP Assumptions'!G72,"0.00%")&amp;", CPI"</f>
        <v>2.86%, CPI</v>
      </c>
      <c r="S79" s="83" t="str">
        <f t="shared" si="41"/>
        <v>0.00%</v>
      </c>
      <c r="T79" s="2">
        <f t="shared" si="46"/>
        <v>0</v>
      </c>
      <c r="U79" s="81" t="str">
        <f>TEXT('MYP Assumptions'!H72,"0.00%")&amp;", CPI"</f>
        <v>2.73%, CPI</v>
      </c>
      <c r="W79" s="83" t="str">
        <f t="shared" si="42"/>
        <v>0.00%</v>
      </c>
      <c r="X79" s="2">
        <f t="shared" si="47"/>
        <v>0</v>
      </c>
      <c r="Y79" s="81" t="str">
        <f>TEXT('MYP Assumptions'!I72,"0.00%")&amp;", CPI"</f>
        <v>2.73%, CPI</v>
      </c>
      <c r="AA79" s="83" t="str">
        <f t="shared" si="43"/>
        <v>0.00%</v>
      </c>
      <c r="AB79" s="2">
        <f t="shared" si="48"/>
        <v>0</v>
      </c>
      <c r="AC79" s="81" t="str">
        <f>TEXT('MYP Assumptions'!J72,"0.00%")&amp;", CPI"</f>
        <v>2.73%, CPI</v>
      </c>
    </row>
    <row r="80" spans="1:29" hidden="1" x14ac:dyDescent="0.25">
      <c r="A80" s="153"/>
      <c r="B80" s="1326"/>
      <c r="D80" s="2">
        <v>0</v>
      </c>
      <c r="E80" s="1249"/>
      <c r="F80" s="2"/>
      <c r="G80" s="1527" t="str">
        <f t="shared" si="50"/>
        <v>0.00%</v>
      </c>
      <c r="H80" s="2">
        <f>ROUND(D80*(LEFT(I80,5)+1),0)</f>
        <v>0</v>
      </c>
      <c r="I80" s="1240" t="str">
        <f>TEXT('MYP Assumptions'!E72,"0.00%")&amp;", CPI"</f>
        <v>3.11%, CPI</v>
      </c>
      <c r="J80" s="66"/>
      <c r="K80" s="1527" t="str">
        <f t="shared" si="39"/>
        <v>0.00%</v>
      </c>
      <c r="L80" s="2">
        <f t="shared" si="44"/>
        <v>0</v>
      </c>
      <c r="M80" s="1240" t="str">
        <f>TEXT('MYP Assumptions'!F72,"0.00%")&amp;", CPI"</f>
        <v>3.19%, CPI</v>
      </c>
      <c r="O80" s="1527" t="str">
        <f t="shared" si="40"/>
        <v>0.00%</v>
      </c>
      <c r="P80" s="2">
        <f t="shared" si="45"/>
        <v>0</v>
      </c>
      <c r="Q80" s="1240" t="str">
        <f>TEXT('MYP Assumptions'!G72,"0.00%")&amp;", CPI"</f>
        <v>2.86%, CPI</v>
      </c>
      <c r="S80" s="83" t="str">
        <f t="shared" si="41"/>
        <v>0.00%</v>
      </c>
      <c r="T80" s="2">
        <f t="shared" si="46"/>
        <v>0</v>
      </c>
      <c r="U80" s="81" t="str">
        <f>TEXT('MYP Assumptions'!H72,"0.00%")&amp;", CPI"</f>
        <v>2.73%, CPI</v>
      </c>
      <c r="W80" s="83" t="str">
        <f t="shared" si="42"/>
        <v>0.00%</v>
      </c>
      <c r="X80" s="2">
        <f t="shared" si="47"/>
        <v>0</v>
      </c>
      <c r="Y80" s="81" t="str">
        <f>TEXT('MYP Assumptions'!I72,"0.00%")&amp;", CPI"</f>
        <v>2.73%, CPI</v>
      </c>
      <c r="AA80" s="83" t="str">
        <f t="shared" si="43"/>
        <v>0.00%</v>
      </c>
      <c r="AB80" s="2">
        <f t="shared" si="48"/>
        <v>0</v>
      </c>
      <c r="AC80" s="81" t="str">
        <f>TEXT('MYP Assumptions'!J72,"0.00%")&amp;", CPI"</f>
        <v>2.73%, CPI</v>
      </c>
    </row>
    <row r="81" spans="1:29" hidden="1" x14ac:dyDescent="0.25">
      <c r="A81" s="153"/>
      <c r="B81" s="1326"/>
      <c r="D81" s="2">
        <f>'RS 3010-ALL'!AF80</f>
        <v>0</v>
      </c>
      <c r="E81" s="1249"/>
      <c r="F81" s="2"/>
      <c r="G81" s="1527" t="str">
        <f t="shared" si="50"/>
        <v>0.00%</v>
      </c>
      <c r="H81" s="2">
        <f>ROUND(D81*(LEFT(I81,5)+1),0)</f>
        <v>0</v>
      </c>
      <c r="I81" s="1240" t="str">
        <f>TEXT('MYP Assumptions'!E72,"0.00%")&amp;", CPI"</f>
        <v>3.11%, CPI</v>
      </c>
      <c r="J81" s="66"/>
      <c r="K81" s="1527" t="str">
        <f t="shared" si="39"/>
        <v>0.00%</v>
      </c>
      <c r="L81" s="2">
        <f t="shared" si="44"/>
        <v>0</v>
      </c>
      <c r="M81" s="1240" t="str">
        <f>TEXT('MYP Assumptions'!F72,"0.00%")&amp;", CPI"</f>
        <v>3.19%, CPI</v>
      </c>
      <c r="O81" s="1527" t="str">
        <f t="shared" si="40"/>
        <v>0.00%</v>
      </c>
      <c r="P81" s="2">
        <f t="shared" si="45"/>
        <v>0</v>
      </c>
      <c r="Q81" s="1240" t="str">
        <f>TEXT('MYP Assumptions'!G72,"0.00%")&amp;", CPI"</f>
        <v>2.86%, CPI</v>
      </c>
      <c r="S81" s="83" t="str">
        <f t="shared" si="41"/>
        <v>0.00%</v>
      </c>
      <c r="T81" s="2">
        <f t="shared" si="46"/>
        <v>0</v>
      </c>
      <c r="U81" s="81" t="str">
        <f>TEXT('MYP Assumptions'!H72,"0.00%")&amp;", CPI"</f>
        <v>2.73%, CPI</v>
      </c>
      <c r="W81" s="83" t="str">
        <f t="shared" si="42"/>
        <v>0.00%</v>
      </c>
      <c r="X81" s="2">
        <f t="shared" si="47"/>
        <v>0</v>
      </c>
      <c r="Y81" s="81" t="str">
        <f>TEXT('MYP Assumptions'!I72,"0.00%")&amp;", CPI"</f>
        <v>2.73%, CPI</v>
      </c>
      <c r="AA81" s="83" t="str">
        <f t="shared" si="43"/>
        <v>0.00%</v>
      </c>
      <c r="AB81" s="2">
        <f t="shared" si="48"/>
        <v>0</v>
      </c>
      <c r="AC81" s="81" t="str">
        <f>TEXT('MYP Assumptions'!J72,"0.00%")&amp;", CPI"</f>
        <v>2.73%, CPI</v>
      </c>
    </row>
    <row r="82" spans="1:29" x14ac:dyDescent="0.25">
      <c r="A82" s="154"/>
      <c r="D82" s="8">
        <f>SUM(D69:D81)</f>
        <v>0</v>
      </c>
      <c r="E82" s="1249"/>
      <c r="F82" s="2"/>
      <c r="G82" s="1527" t="str">
        <f t="shared" si="50"/>
        <v>0.00%</v>
      </c>
      <c r="H82" s="8">
        <f>SUM(H69:H81)</f>
        <v>0</v>
      </c>
      <c r="I82" s="1258"/>
      <c r="J82" s="29"/>
      <c r="K82" s="1527" t="str">
        <f t="shared" si="39"/>
        <v>0.00%</v>
      </c>
      <c r="L82" s="8">
        <f>SUM(L69:L81)</f>
        <v>0</v>
      </c>
      <c r="M82" s="1335"/>
      <c r="O82" s="1527" t="str">
        <f t="shared" si="40"/>
        <v>0.00%</v>
      </c>
      <c r="P82" s="8">
        <f>SUM(P69:P81)</f>
        <v>0</v>
      </c>
      <c r="Q82" s="1335"/>
      <c r="S82" s="83" t="str">
        <f t="shared" si="41"/>
        <v>0.00%</v>
      </c>
      <c r="T82" s="8">
        <f>SUM(T69:T81)</f>
        <v>0</v>
      </c>
      <c r="U82" s="73"/>
      <c r="W82" s="83" t="str">
        <f t="shared" si="42"/>
        <v>0.00%</v>
      </c>
      <c r="X82" s="8">
        <f>SUM(X69:X81)</f>
        <v>0</v>
      </c>
      <c r="Y82" s="73"/>
      <c r="AA82" s="83" t="str">
        <f t="shared" si="43"/>
        <v>0.00%</v>
      </c>
      <c r="AB82" s="8">
        <f>SUM(AB69:AB81)</f>
        <v>0</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B84" s="1323" t="s">
        <v>237</v>
      </c>
      <c r="E84" s="1249"/>
      <c r="F84" s="2"/>
      <c r="G84" s="1527"/>
      <c r="H84" s="2"/>
      <c r="I84" s="1257"/>
      <c r="J84" s="66"/>
      <c r="L84" s="2"/>
      <c r="M84" s="1335"/>
      <c r="Q84" s="1335"/>
      <c r="T84" s="2"/>
      <c r="U84" s="73"/>
      <c r="X84" s="2"/>
      <c r="Y84" s="73"/>
      <c r="AB84" s="2"/>
      <c r="AC84" s="73"/>
    </row>
    <row r="85" spans="1:29" x14ac:dyDescent="0.25">
      <c r="A85" s="153"/>
      <c r="B85" s="1326">
        <v>7211</v>
      </c>
      <c r="C85" s="1243" t="s">
        <v>239</v>
      </c>
      <c r="D85" s="2">
        <v>7500</v>
      </c>
      <c r="E85" s="1249"/>
      <c r="F85" s="2"/>
      <c r="G85" s="1527"/>
      <c r="H85" s="2">
        <v>10325</v>
      </c>
      <c r="I85" s="1257" t="s">
        <v>174</v>
      </c>
      <c r="J85" s="66"/>
      <c r="L85" s="2">
        <f>+H85</f>
        <v>10325</v>
      </c>
      <c r="M85" s="1257" t="s">
        <v>174</v>
      </c>
      <c r="P85" s="2">
        <f>+L85</f>
        <v>10325</v>
      </c>
      <c r="Q85" s="1257" t="s">
        <v>174</v>
      </c>
      <c r="T85" s="2">
        <f>+P85</f>
        <v>10325</v>
      </c>
      <c r="U85" s="36" t="s">
        <v>174</v>
      </c>
      <c r="X85" s="2">
        <f>+T85</f>
        <v>10325</v>
      </c>
      <c r="Y85" s="36" t="s">
        <v>174</v>
      </c>
      <c r="AB85" s="2">
        <f>+X85</f>
        <v>10325</v>
      </c>
      <c r="AC85" s="36" t="s">
        <v>174</v>
      </c>
    </row>
    <row r="86" spans="1:29" hidden="1" x14ac:dyDescent="0.25">
      <c r="A86" s="153"/>
      <c r="B86" s="1323"/>
      <c r="D86" s="2">
        <v>0</v>
      </c>
      <c r="E86" s="1249"/>
      <c r="F86" s="2"/>
      <c r="G86" s="1527"/>
      <c r="H86" s="2">
        <v>0</v>
      </c>
      <c r="I86" s="1257"/>
      <c r="J86" s="66"/>
      <c r="L86" s="2">
        <v>0</v>
      </c>
      <c r="M86" s="1257"/>
      <c r="P86" s="2">
        <v>0</v>
      </c>
      <c r="Q86" s="1257"/>
      <c r="T86" s="2">
        <v>0</v>
      </c>
      <c r="U86" s="36"/>
      <c r="X86" s="2">
        <v>0</v>
      </c>
      <c r="Y86" s="36"/>
      <c r="AB86" s="2">
        <v>0</v>
      </c>
      <c r="AC86" s="36"/>
    </row>
    <row r="87" spans="1:29" hidden="1" x14ac:dyDescent="0.25">
      <c r="A87" s="153"/>
      <c r="B87" s="1323"/>
      <c r="D87" s="2">
        <v>0</v>
      </c>
      <c r="E87" s="1249"/>
      <c r="F87" s="2"/>
      <c r="G87" s="1527"/>
      <c r="H87" s="2">
        <v>0</v>
      </c>
      <c r="I87" s="1257"/>
      <c r="J87" s="66"/>
      <c r="L87" s="2">
        <v>0</v>
      </c>
      <c r="M87" s="1257"/>
      <c r="P87" s="2">
        <v>0</v>
      </c>
      <c r="Q87" s="1257"/>
      <c r="T87" s="2">
        <v>0</v>
      </c>
      <c r="U87" s="36"/>
      <c r="X87" s="2">
        <v>0</v>
      </c>
      <c r="Y87" s="36"/>
      <c r="AB87" s="2">
        <v>0</v>
      </c>
      <c r="AC87" s="36"/>
    </row>
    <row r="88" spans="1:29" ht="6.75" hidden="1" customHeight="1" x14ac:dyDescent="0.25">
      <c r="A88" s="153"/>
      <c r="B88" s="1323"/>
      <c r="E88" s="1249"/>
      <c r="F88" s="2"/>
      <c r="G88" s="1527"/>
      <c r="H88" s="2"/>
      <c r="I88" s="1257"/>
      <c r="J88" s="66"/>
      <c r="L88" s="2"/>
      <c r="M88" s="1257"/>
      <c r="Q88" s="1257"/>
      <c r="T88" s="2"/>
      <c r="U88" s="36"/>
      <c r="X88" s="2"/>
      <c r="Y88" s="36"/>
      <c r="AB88" s="2"/>
      <c r="AC88" s="36"/>
    </row>
    <row r="89" spans="1:29" s="13" customFormat="1" x14ac:dyDescent="0.25">
      <c r="A89" s="155"/>
      <c r="B89" s="1325"/>
      <c r="C89" s="1325"/>
      <c r="D89" s="161">
        <f>SUM(D85:D88)</f>
        <v>7500</v>
      </c>
      <c r="E89" s="1247"/>
      <c r="F89" s="10"/>
      <c r="G89" s="1538"/>
      <c r="H89" s="161">
        <f>SUM(H85:H88)</f>
        <v>10325</v>
      </c>
      <c r="I89" s="1882">
        <f>+H89-D89</f>
        <v>2825</v>
      </c>
      <c r="J89" s="57"/>
      <c r="K89" s="1570"/>
      <c r="L89" s="161">
        <f>SUM(L85:L88)</f>
        <v>10325</v>
      </c>
      <c r="M89" s="1882">
        <f>+L89-H89</f>
        <v>0</v>
      </c>
      <c r="O89" s="1570"/>
      <c r="P89" s="161">
        <f>SUM(P85:P88)</f>
        <v>10325</v>
      </c>
      <c r="Q89" s="1882">
        <f>+P89-L89</f>
        <v>0</v>
      </c>
      <c r="R89" s="111"/>
      <c r="T89" s="161">
        <f>SUM(T85:T88)</f>
        <v>10325</v>
      </c>
      <c r="U89" s="6"/>
      <c r="X89" s="161">
        <f>SUM(X85:X88)</f>
        <v>10325</v>
      </c>
      <c r="Y89" s="6"/>
      <c r="AB89" s="161">
        <f>SUM(AB85:AB88)</f>
        <v>10325</v>
      </c>
      <c r="AC89" s="6"/>
    </row>
    <row r="90" spans="1:29" x14ac:dyDescent="0.25">
      <c r="A90" s="153"/>
      <c r="E90" s="1249"/>
      <c r="F90" s="2"/>
      <c r="H90" s="2"/>
      <c r="I90" s="1257"/>
      <c r="J90" s="66"/>
      <c r="L90" s="2"/>
      <c r="M90" s="1257"/>
      <c r="Q90" s="1257"/>
      <c r="T90" s="2"/>
      <c r="U90" s="36"/>
      <c r="X90" s="2"/>
      <c r="Y90" s="36"/>
      <c r="AB90" s="2"/>
      <c r="AC90" s="36"/>
    </row>
    <row r="91" spans="1:29" x14ac:dyDescent="0.25">
      <c r="A91" s="153"/>
      <c r="E91" s="1249"/>
      <c r="F91" s="2"/>
      <c r="H91" s="2"/>
      <c r="I91" s="1257"/>
      <c r="J91" s="66"/>
      <c r="L91" s="2"/>
      <c r="M91" s="1257"/>
      <c r="Q91" s="1257"/>
      <c r="T91" s="2"/>
      <c r="U91" s="36"/>
      <c r="X91" s="2"/>
      <c r="Y91" s="36"/>
      <c r="AB91" s="2"/>
      <c r="AC91" s="36"/>
    </row>
    <row r="92" spans="1:29" x14ac:dyDescent="0.25">
      <c r="A92" s="154"/>
      <c r="B92" s="1323" t="s">
        <v>0</v>
      </c>
      <c r="D92" s="8">
        <f>SUM(D82,D66,D55,D13,D89)</f>
        <v>1652049</v>
      </c>
      <c r="E92" s="1249"/>
      <c r="F92" s="2"/>
      <c r="G92" s="1527">
        <f>IF(D92=0,"0.00%",(H92-D92)/D92)</f>
        <v>3.5756203357164347E-2</v>
      </c>
      <c r="H92" s="8">
        <f>SUM(H82,H66,H55,H13,H89)</f>
        <v>1711120</v>
      </c>
      <c r="I92" s="1882">
        <f>+H92-D92</f>
        <v>59071</v>
      </c>
      <c r="J92" s="29"/>
      <c r="K92" s="1527">
        <f>IF(H92=0,"0.00%",(L92-H92)/H92)</f>
        <v>0</v>
      </c>
      <c r="L92" s="8">
        <f>SUM(L82,L66,L55,L13,L89)</f>
        <v>1711120</v>
      </c>
      <c r="M92" s="1882">
        <f>+L92-H92</f>
        <v>0</v>
      </c>
      <c r="O92" s="1527">
        <f>IF(L92=0,"0.00%",(P92-L92)/L92)</f>
        <v>0</v>
      </c>
      <c r="P92" s="8">
        <f>SUM(P82,P66,P55,P13,P89)</f>
        <v>1711120</v>
      </c>
      <c r="Q92" s="1882">
        <f>+P92-L92</f>
        <v>0</v>
      </c>
      <c r="S92" s="83">
        <f>IF(P92=0,"0.00%",(T92-P92)/P92)</f>
        <v>4.7288325774931042E-2</v>
      </c>
      <c r="T92" s="8">
        <f>SUM(T82,T66,T55,T13,T89)</f>
        <v>1792036</v>
      </c>
      <c r="U92" s="5"/>
      <c r="W92" s="83">
        <f>IF(T92=0,"0.00%",(X92-T92)/T92)</f>
        <v>3.1568004214201056E-2</v>
      </c>
      <c r="X92" s="8">
        <f>SUM(X82,X66,X55,X13,X89)</f>
        <v>1848607</v>
      </c>
      <c r="Y92" s="5"/>
      <c r="AA92" s="83">
        <f>IF(X92=0,"0.00%",(AB92-X92)/X92)</f>
        <v>2.811630595361805E-2</v>
      </c>
      <c r="AB92" s="8">
        <f>SUM(AB82,AB66,AB55,AB13,AB89)</f>
        <v>1900583</v>
      </c>
      <c r="AC92" s="5"/>
    </row>
    <row r="93" spans="1:29" x14ac:dyDescent="0.25">
      <c r="A93" s="153"/>
      <c r="E93" s="1249"/>
      <c r="F93" s="2"/>
      <c r="H93" s="2"/>
      <c r="I93" s="1257"/>
      <c r="J93" s="66"/>
      <c r="L93" s="2"/>
      <c r="M93" s="1335"/>
      <c r="Q93" s="1335"/>
      <c r="T93" s="2"/>
      <c r="U93" s="73"/>
      <c r="X93" s="2"/>
      <c r="Y93" s="73"/>
      <c r="AB93" s="2"/>
      <c r="AC93" s="73"/>
    </row>
    <row r="94" spans="1:29" x14ac:dyDescent="0.25">
      <c r="A94" s="153"/>
      <c r="B94" s="1323" t="s">
        <v>138</v>
      </c>
      <c r="D94" s="3">
        <f>D11-D92</f>
        <v>0</v>
      </c>
      <c r="G94" s="1527" t="str">
        <f>IF(D94=0,"0.00%",(H94-D94)/D94)</f>
        <v>0.00%</v>
      </c>
      <c r="H94" s="3">
        <f>H11-H92</f>
        <v>0</v>
      </c>
      <c r="I94" s="1257"/>
      <c r="J94" s="66"/>
      <c r="K94" s="1527" t="str">
        <f>IF(H94=0,"0.00%",(L94-H94)/H94)</f>
        <v>0.00%</v>
      </c>
      <c r="L94" s="3">
        <f>L11-L92</f>
        <v>0</v>
      </c>
      <c r="M94" s="1335"/>
      <c r="O94" s="1527" t="str">
        <f>IF(L94=0,"0.00%",(P94-L94)/L94)</f>
        <v>0.00%</v>
      </c>
      <c r="P94" s="3">
        <f>P11-P92</f>
        <v>0</v>
      </c>
      <c r="Q94" s="1335"/>
      <c r="S94" s="83" t="str">
        <f>IF(P94=0,"0.00%",(T94-P94)/P94)</f>
        <v>0.00%</v>
      </c>
      <c r="T94" s="3">
        <f>T11-T92</f>
        <v>-91241</v>
      </c>
      <c r="U94" s="73"/>
      <c r="W94" s="83">
        <f>IF(T94=0,"0.00%",(X94-T94)/T94)</f>
        <v>0.62001731677644922</v>
      </c>
      <c r="X94" s="3">
        <f>X11-X92</f>
        <v>-147812</v>
      </c>
      <c r="Y94" s="73"/>
      <c r="AA94" s="83">
        <f>IF(X94=0,"0.00%",(AB94-X94)/X94)</f>
        <v>0.35163586177035694</v>
      </c>
      <c r="AB94" s="3">
        <f>AB11-AB92</f>
        <v>-199788</v>
      </c>
      <c r="AC94" s="73"/>
    </row>
    <row r="95" spans="1:29" x14ac:dyDescent="0.25">
      <c r="B95" s="1323"/>
      <c r="C95" s="1317"/>
      <c r="D95" s="3"/>
      <c r="H95" s="3"/>
      <c r="I95" s="1257"/>
      <c r="J95" s="66"/>
      <c r="L95" s="3"/>
      <c r="M95" s="1335"/>
      <c r="P95" s="3"/>
      <c r="Q95" s="1335"/>
      <c r="T95" s="44"/>
      <c r="U95" s="73"/>
      <c r="X95" s="44"/>
      <c r="Y95" s="73"/>
      <c r="AB95" s="44"/>
      <c r="AC95" s="73"/>
    </row>
    <row r="96" spans="1:29" x14ac:dyDescent="0.25">
      <c r="B96" s="1323" t="s">
        <v>136</v>
      </c>
      <c r="C96" s="1319"/>
      <c r="D96" s="3">
        <f>D7+D94</f>
        <v>0</v>
      </c>
      <c r="G96" s="1527" t="str">
        <f>IF(D96=0,"0.00%",(H96-D96)/D96)</f>
        <v>0.00%</v>
      </c>
      <c r="H96" s="3">
        <f>H7+H94</f>
        <v>0</v>
      </c>
      <c r="I96" s="1257"/>
      <c r="J96" s="66"/>
      <c r="K96" s="1527" t="str">
        <f>IF(H96=0,"0.00%",(L96-H96)/H96)</f>
        <v>0.00%</v>
      </c>
      <c r="L96" s="3">
        <f>L7+L94</f>
        <v>0</v>
      </c>
      <c r="M96" s="1335"/>
      <c r="O96" s="1527" t="str">
        <f>IF(L96=0,"0.00%",(P96-L96)/L96)</f>
        <v>0.00%</v>
      </c>
      <c r="P96" s="3">
        <f>P7+P94</f>
        <v>0</v>
      </c>
      <c r="Q96" s="1335"/>
      <c r="S96" s="83" t="str">
        <f>IF(P96=0,"0.00%",(T96-P96)/P96)</f>
        <v>0.00%</v>
      </c>
      <c r="T96" s="49">
        <f>T7+T94</f>
        <v>-91241</v>
      </c>
      <c r="U96" s="73"/>
      <c r="W96" s="83">
        <f>IF(T96=0,"0.00%",(X96-T96)/T96)</f>
        <v>1.6200173167764491</v>
      </c>
      <c r="X96" s="49">
        <f>X7+X94</f>
        <v>-239053</v>
      </c>
      <c r="Y96" s="73"/>
      <c r="AA96" s="83">
        <f>IF(X96=0,"0.00%",(AB96-X96)/X96)</f>
        <v>0.83574772121663399</v>
      </c>
      <c r="AB96" s="49">
        <f>AB7+AB94</f>
        <v>-438841</v>
      </c>
      <c r="AC96" s="73"/>
    </row>
    <row r="97" spans="1:29" x14ac:dyDescent="0.25">
      <c r="C97" s="1259"/>
      <c r="G97" s="1540"/>
      <c r="H97" s="5"/>
      <c r="I97" s="1258"/>
      <c r="J97" s="29"/>
      <c r="L97" s="5"/>
      <c r="M97" s="1335"/>
      <c r="P97" s="5"/>
      <c r="Q97" s="1335"/>
      <c r="T97" s="5"/>
      <c r="U97" s="73"/>
      <c r="X97" s="5"/>
      <c r="Y97" s="73"/>
      <c r="AB97" s="5"/>
      <c r="AC97" s="73"/>
    </row>
    <row r="98" spans="1:29" x14ac:dyDescent="0.25">
      <c r="C98" s="1254"/>
      <c r="G98" s="1540"/>
      <c r="H98" s="36"/>
      <c r="I98" s="1257"/>
      <c r="J98" s="66"/>
      <c r="L98" s="2"/>
      <c r="M98" s="1335"/>
      <c r="Q98" s="1335"/>
      <c r="T98" s="2"/>
      <c r="U98" s="73"/>
      <c r="X98" s="2"/>
      <c r="Y98" s="73"/>
      <c r="AB98" s="2"/>
      <c r="AC98" s="73"/>
    </row>
    <row r="99" spans="1:29" x14ac:dyDescent="0.25">
      <c r="C99" s="1254"/>
      <c r="G99" s="1540"/>
      <c r="H99" s="36"/>
      <c r="I99" s="1257"/>
      <c r="J99" s="66"/>
      <c r="L99" s="2"/>
      <c r="M99" s="1335"/>
      <c r="Q99" s="1335"/>
      <c r="T99" s="2"/>
      <c r="U99" s="73"/>
      <c r="X99" s="2"/>
      <c r="Y99" s="73"/>
      <c r="AB99" s="2"/>
      <c r="AC99" s="73"/>
    </row>
    <row r="100" spans="1:29" x14ac:dyDescent="0.25">
      <c r="C100" s="1254"/>
      <c r="G100" s="1540"/>
      <c r="H100" s="36"/>
      <c r="I100" s="1257"/>
      <c r="J100" s="66"/>
      <c r="L100" s="2">
        <f>+L96*1.0444</f>
        <v>0</v>
      </c>
      <c r="M100" s="1335"/>
      <c r="Q100" s="1335"/>
      <c r="T100" s="2"/>
      <c r="U100" s="73"/>
      <c r="X100" s="2"/>
      <c r="Y100" s="73"/>
      <c r="AB100" s="2"/>
      <c r="AC100" s="73"/>
    </row>
    <row r="101" spans="1:29" x14ac:dyDescent="0.25">
      <c r="C101" s="1254"/>
      <c r="G101" s="1540"/>
      <c r="H101" s="36"/>
      <c r="I101" s="1257"/>
      <c r="J101" s="66"/>
      <c r="L101" s="2"/>
      <c r="M101" s="1335"/>
      <c r="Q101" s="1335"/>
      <c r="T101" s="2"/>
      <c r="U101" s="73"/>
      <c r="X101" s="2"/>
      <c r="Y101" s="73"/>
      <c r="AB101" s="2"/>
      <c r="AC101" s="73"/>
    </row>
    <row r="102" spans="1:29" s="138" customFormat="1" ht="11.25" x14ac:dyDescent="0.2">
      <c r="A102" s="157"/>
      <c r="B102" s="1329"/>
      <c r="C102" s="1330" t="s">
        <v>273</v>
      </c>
      <c r="D102" s="135">
        <f>+D82+D66+D53+D41+D30+D89</f>
        <v>1593372</v>
      </c>
      <c r="E102" s="1251"/>
      <c r="G102" s="1541" t="s">
        <v>273</v>
      </c>
      <c r="H102" s="135">
        <f>+H82+H66+H53+H41+H30+H89</f>
        <v>1638815</v>
      </c>
      <c r="I102" s="1260"/>
      <c r="J102" s="136"/>
      <c r="K102" s="1541" t="s">
        <v>273</v>
      </c>
      <c r="L102" s="135">
        <f>+L82+L66+L53+L41+L30+L89</f>
        <v>1638815</v>
      </c>
      <c r="M102" s="1338"/>
      <c r="O102" s="1541" t="s">
        <v>273</v>
      </c>
      <c r="P102" s="135">
        <f>+P82+P66+P53+P41+P30+P89</f>
        <v>1638815</v>
      </c>
      <c r="Q102" s="1338"/>
      <c r="R102" s="140"/>
      <c r="S102" s="158" t="s">
        <v>273</v>
      </c>
      <c r="T102" s="135">
        <f>+T82+T66+T53+T41+T30+T89</f>
        <v>1731720</v>
      </c>
      <c r="U102" s="139"/>
      <c r="W102" s="158" t="s">
        <v>273</v>
      </c>
      <c r="X102" s="135">
        <f>+X82+X66+X53+X41+X30+X89</f>
        <v>1788291</v>
      </c>
      <c r="Y102" s="139"/>
      <c r="AA102" s="158" t="s">
        <v>273</v>
      </c>
      <c r="AB102" s="135">
        <f>+AB82+AB66+AB53+AB41+AB30+AB89</f>
        <v>1840267</v>
      </c>
      <c r="AC102" s="139"/>
    </row>
    <row r="103" spans="1:29" s="138" customFormat="1" ht="11.25" x14ac:dyDescent="0.2">
      <c r="A103" s="159"/>
      <c r="B103" s="1329"/>
      <c r="C103" s="1331" t="s">
        <v>227</v>
      </c>
      <c r="D103" s="143">
        <f>+D13</f>
        <v>58677</v>
      </c>
      <c r="E103" s="1252"/>
      <c r="F103" s="145"/>
      <c r="G103" s="1546" t="s">
        <v>227</v>
      </c>
      <c r="H103" s="143">
        <f>+H13</f>
        <v>72305</v>
      </c>
      <c r="I103" s="1261"/>
      <c r="J103" s="144"/>
      <c r="K103" s="1546" t="s">
        <v>227</v>
      </c>
      <c r="L103" s="143">
        <f>+L13</f>
        <v>72305</v>
      </c>
      <c r="M103" s="1338"/>
      <c r="O103" s="1546" t="s">
        <v>227</v>
      </c>
      <c r="P103" s="143">
        <f>+P13</f>
        <v>72305</v>
      </c>
      <c r="Q103" s="1251"/>
      <c r="R103" s="140"/>
      <c r="S103" s="160" t="s">
        <v>227</v>
      </c>
      <c r="T103" s="143">
        <f>+T13</f>
        <v>60316</v>
      </c>
      <c r="W103" s="160" t="s">
        <v>227</v>
      </c>
      <c r="X103" s="143">
        <f>+X13</f>
        <v>60316</v>
      </c>
      <c r="AA103" s="160" t="s">
        <v>227</v>
      </c>
      <c r="AB103" s="143">
        <f>+AB13</f>
        <v>60316</v>
      </c>
    </row>
    <row r="104" spans="1:29" s="138" customFormat="1" ht="11.25" x14ac:dyDescent="0.2">
      <c r="A104" s="159"/>
      <c r="B104" s="1329"/>
      <c r="C104" s="1331"/>
      <c r="D104" s="146">
        <f>+D102+D103</f>
        <v>1652049</v>
      </c>
      <c r="E104" s="1252"/>
      <c r="F104" s="145"/>
      <c r="G104" s="1546"/>
      <c r="H104" s="146">
        <f>+H102+H103</f>
        <v>1711120</v>
      </c>
      <c r="I104" s="1261"/>
      <c r="J104" s="144"/>
      <c r="K104" s="1546"/>
      <c r="L104" s="146">
        <f>+L102+L103</f>
        <v>1711120</v>
      </c>
      <c r="M104" s="1251"/>
      <c r="O104" s="1546"/>
      <c r="P104" s="146">
        <f>+P102+P103</f>
        <v>1711120</v>
      </c>
      <c r="Q104" s="1251"/>
      <c r="R104" s="140"/>
      <c r="S104" s="142"/>
      <c r="T104" s="146">
        <f>+T102+T103</f>
        <v>1792036</v>
      </c>
      <c r="W104" s="142"/>
      <c r="X104" s="146">
        <f>+X102+X103</f>
        <v>1848607</v>
      </c>
      <c r="AA104" s="142"/>
      <c r="AB104" s="146">
        <f>+AB102+AB103</f>
        <v>1900583</v>
      </c>
    </row>
    <row r="105" spans="1:29" ht="15" customHeight="1" x14ac:dyDescent="0.25">
      <c r="A105" s="153"/>
      <c r="B105" s="1332"/>
      <c r="C105" s="1332"/>
      <c r="D105" s="5">
        <f>+D92-D104</f>
        <v>0</v>
      </c>
      <c r="E105" s="1249"/>
      <c r="F105" s="2"/>
      <c r="G105" s="1543"/>
      <c r="H105" s="5">
        <f>+H92-H104</f>
        <v>0</v>
      </c>
      <c r="K105" s="1543"/>
      <c r="L105" s="5">
        <f>+L92-L104</f>
        <v>0</v>
      </c>
      <c r="O105" s="1543"/>
      <c r="P105" s="5">
        <f>+P92-P104</f>
        <v>0</v>
      </c>
      <c r="S105" s="103"/>
      <c r="T105" s="5">
        <f>+T92-T104</f>
        <v>0</v>
      </c>
      <c r="W105" s="103"/>
      <c r="X105" s="5">
        <f>+X92-X104</f>
        <v>0</v>
      </c>
      <c r="AA105" s="103"/>
      <c r="AB105" s="5">
        <f>+AB92-AB104</f>
        <v>0</v>
      </c>
    </row>
    <row r="106" spans="1:29" x14ac:dyDescent="0.25">
      <c r="A106" s="153"/>
      <c r="B106" s="1332"/>
      <c r="C106" s="1332"/>
      <c r="D106" s="36"/>
      <c r="E106" s="1249"/>
      <c r="F106" s="2"/>
    </row>
    <row r="107" spans="1:29" x14ac:dyDescent="0.25">
      <c r="A107" s="153"/>
      <c r="B107" s="1319"/>
      <c r="C107" s="1254"/>
      <c r="D107" s="25"/>
      <c r="E107" s="1249"/>
      <c r="F107" s="2"/>
    </row>
    <row r="108" spans="1:29" x14ac:dyDescent="0.25">
      <c r="B108" s="1319"/>
      <c r="C108" s="1254"/>
      <c r="D108" s="36"/>
    </row>
    <row r="109" spans="1:29" x14ac:dyDescent="0.25">
      <c r="B109" s="1319"/>
      <c r="C109" s="1254"/>
      <c r="D109" s="36"/>
    </row>
    <row r="110" spans="1:29" ht="15" customHeight="1" x14ac:dyDescent="0.25">
      <c r="B110" s="1319"/>
      <c r="C110" s="1254"/>
      <c r="D110" s="36"/>
    </row>
    <row r="111" spans="1:29" x14ac:dyDescent="0.25">
      <c r="B111" s="1319"/>
      <c r="C111" s="1254"/>
      <c r="D111" s="36"/>
    </row>
    <row r="112" spans="1:29" x14ac:dyDescent="0.25">
      <c r="B112" s="1319"/>
      <c r="C112" s="1254"/>
      <c r="D112" s="36"/>
    </row>
    <row r="113" spans="2:4" ht="15" customHeight="1" x14ac:dyDescent="0.25">
      <c r="B113" s="2151"/>
      <c r="C113" s="2151"/>
      <c r="D113" s="36"/>
    </row>
    <row r="114" spans="2:4" x14ac:dyDescent="0.25">
      <c r="B114" s="2151"/>
      <c r="C114" s="2151"/>
      <c r="D114" s="36"/>
    </row>
    <row r="115" spans="2:4" x14ac:dyDescent="0.25">
      <c r="B115" s="1319"/>
      <c r="C115" s="1254"/>
      <c r="D115" s="6"/>
    </row>
    <row r="116" spans="2:4" x14ac:dyDescent="0.25">
      <c r="B116" s="1319"/>
      <c r="C116" s="1254"/>
      <c r="D116" s="36"/>
    </row>
    <row r="117" spans="2:4" x14ac:dyDescent="0.25">
      <c r="B117" s="1319"/>
      <c r="C117" s="1254"/>
      <c r="D117" s="36"/>
    </row>
    <row r="118" spans="2:4" ht="28.5" customHeight="1" x14ac:dyDescent="0.25">
      <c r="B118" s="1319"/>
      <c r="C118" s="1254"/>
      <c r="D118" s="25"/>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row r="127" spans="2:4" x14ac:dyDescent="0.25">
      <c r="B127" s="1319"/>
      <c r="C127" s="1254"/>
      <c r="D127" s="36"/>
    </row>
    <row r="128" spans="2:4" x14ac:dyDescent="0.25">
      <c r="B128" s="1319"/>
      <c r="C128" s="1254"/>
      <c r="D128" s="36"/>
    </row>
    <row r="129" spans="2:4" x14ac:dyDescent="0.25">
      <c r="B129" s="1319"/>
      <c r="C129" s="1254"/>
      <c r="D129" s="36"/>
    </row>
    <row r="130" spans="2:4" x14ac:dyDescent="0.25">
      <c r="B130" s="1319"/>
      <c r="C130" s="1254"/>
      <c r="D130" s="36"/>
    </row>
    <row r="131" spans="2:4" x14ac:dyDescent="0.25">
      <c r="B131" s="1319"/>
      <c r="C131" s="1254"/>
      <c r="D131" s="36"/>
    </row>
    <row r="132" spans="2:4" x14ac:dyDescent="0.25">
      <c r="B132" s="1319"/>
      <c r="C132" s="1254"/>
      <c r="D132" s="36"/>
    </row>
    <row r="133" spans="2:4" x14ac:dyDescent="0.25">
      <c r="B133" s="1319"/>
      <c r="C133" s="1254"/>
      <c r="D133" s="36"/>
    </row>
  </sheetData>
  <mergeCells count="1">
    <mergeCell ref="B113:C114"/>
  </mergeCells>
  <pageMargins left="0.25" right="0.25" top="0.5" bottom="0.5" header="0.25" footer="0.25"/>
  <pageSetup paperSize="5" scale="74" orientation="portrait" r:id="rId1"/>
  <headerFooter>
    <oddHeader>&amp;L&amp;F</oddHead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32"/>
  <sheetViews>
    <sheetView zoomScaleNormal="100" workbookViewId="0">
      <pane xSplit="3" ySplit="6" topLeftCell="D42"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9.7109375" style="1243" bestFit="1"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9.42578125" style="1550"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241</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t="s">
        <v>726</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D4" s="36"/>
      <c r="E4" s="1254"/>
      <c r="F4" s="51"/>
      <c r="G4" s="1540"/>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D95</f>
        <v>0</v>
      </c>
      <c r="I7" s="1315"/>
      <c r="J7" s="60"/>
      <c r="L7" s="2">
        <f>H95</f>
        <v>0</v>
      </c>
      <c r="M7" s="1315"/>
      <c r="P7" s="2">
        <f>L95</f>
        <v>0</v>
      </c>
      <c r="Q7" s="1315"/>
      <c r="T7" s="2">
        <f>P95</f>
        <v>0</v>
      </c>
      <c r="U7" s="105"/>
      <c r="X7" s="2">
        <f>T95</f>
        <v>96</v>
      </c>
      <c r="Y7" s="105"/>
      <c r="AB7" s="2">
        <f>X95</f>
        <v>-249</v>
      </c>
      <c r="AC7" s="105"/>
    </row>
    <row r="8" spans="1:29" x14ac:dyDescent="0.25">
      <c r="E8" s="1315"/>
      <c r="H8" s="2"/>
      <c r="I8" s="1315"/>
      <c r="L8" s="2"/>
      <c r="M8" s="1315"/>
      <c r="Q8" s="1315"/>
      <c r="U8" s="105"/>
      <c r="Y8" s="105"/>
      <c r="AC8" s="105"/>
    </row>
    <row r="9" spans="1:29" x14ac:dyDescent="0.25">
      <c r="B9" s="1317" t="s">
        <v>52</v>
      </c>
      <c r="C9" s="1243" t="s">
        <v>53</v>
      </c>
      <c r="D9" s="2">
        <v>1510</v>
      </c>
      <c r="E9" s="1315" t="s">
        <v>274</v>
      </c>
      <c r="G9" s="1527">
        <f>IF(D9=0,"0.00%",(H9-D9)/D9)</f>
        <v>13.653642384105961</v>
      </c>
      <c r="H9" s="3">
        <v>22127</v>
      </c>
      <c r="I9" s="1315"/>
      <c r="J9" s="61"/>
      <c r="K9" s="1527">
        <f>IF(H9=0,"0.00%",(L9-H9)/H9)</f>
        <v>0</v>
      </c>
      <c r="L9" s="3">
        <f>+H9</f>
        <v>22127</v>
      </c>
      <c r="M9" s="1315" t="s">
        <v>174</v>
      </c>
      <c r="O9" s="1527">
        <f>IF(L9=0,"0.00%",(P9-L9)/L9)</f>
        <v>0</v>
      </c>
      <c r="P9" s="3">
        <f>+L9</f>
        <v>22127</v>
      </c>
      <c r="Q9" s="1315" t="s">
        <v>174</v>
      </c>
      <c r="S9" s="83">
        <f>IF(P9=0,"0.00%",(T9-P9)/P9)</f>
        <v>0</v>
      </c>
      <c r="T9" s="3">
        <f>+P9</f>
        <v>22127</v>
      </c>
      <c r="U9" s="105"/>
      <c r="W9" s="83">
        <f>IF(T9=0,"0.00%",(X9-T9)/T9)</f>
        <v>0</v>
      </c>
      <c r="X9" s="3">
        <f>+T9</f>
        <v>22127</v>
      </c>
      <c r="Y9" s="105"/>
      <c r="AA9" s="83">
        <f>IF(X9=0,"0.00%",(AB9-X9)/X9)</f>
        <v>0</v>
      </c>
      <c r="AB9" s="3">
        <f>+X9</f>
        <v>22127</v>
      </c>
      <c r="AC9" s="105"/>
    </row>
    <row r="10" spans="1:29" x14ac:dyDescent="0.25">
      <c r="C10" s="1243" t="s">
        <v>51</v>
      </c>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1510</v>
      </c>
      <c r="E11" s="1315"/>
      <c r="G11" s="1527">
        <f t="shared" si="0"/>
        <v>13.653642384105961</v>
      </c>
      <c r="H11" s="8">
        <f>SUM(H9:H10)</f>
        <v>22127</v>
      </c>
      <c r="I11" s="1882">
        <f>+H11-D11</f>
        <v>20617</v>
      </c>
      <c r="J11" s="62"/>
      <c r="K11" s="1527">
        <f>IF(H11=0,"0.00%",(L11-H11)/H11)</f>
        <v>0</v>
      </c>
      <c r="L11" s="8">
        <f>SUM(L9:L10)</f>
        <v>22127</v>
      </c>
      <c r="M11" s="1882">
        <f>+L11-H11</f>
        <v>0</v>
      </c>
      <c r="O11" s="1527">
        <f>IF(L11=0,"0.00%",(P11-L11)/L11)</f>
        <v>0</v>
      </c>
      <c r="P11" s="8">
        <f>SUM(P9:P10)</f>
        <v>22127</v>
      </c>
      <c r="Q11" s="1882">
        <f>+P11-L11</f>
        <v>0</v>
      </c>
      <c r="S11" s="83">
        <f>IF(P11=0,"0.00%",(T11-P11)/P11)</f>
        <v>0</v>
      </c>
      <c r="T11" s="78">
        <f>SUM(T9:T10)</f>
        <v>22127</v>
      </c>
      <c r="U11" s="105"/>
      <c r="W11" s="83">
        <f>IF(T11=0,"0.00%",(X11-T11)/T11)</f>
        <v>0</v>
      </c>
      <c r="X11" s="78">
        <f>SUM(X9:X10)</f>
        <v>22127</v>
      </c>
      <c r="Y11" s="105"/>
      <c r="AA11" s="83">
        <f>IF(X11=0,"0.00%",(AB11-X11)/X11)</f>
        <v>0</v>
      </c>
      <c r="AB11" s="78">
        <f>SUM(AB9:AB10)</f>
        <v>22127</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C13" s="1325" t="s">
        <v>64</v>
      </c>
      <c r="D13" s="9">
        <f>ROUND((D11-D89)-((D11-D89)/(1+E13)),0)-5</f>
        <v>49</v>
      </c>
      <c r="E13" s="1428">
        <v>3.6999999999999998E-2</v>
      </c>
      <c r="G13" s="1527">
        <f t="shared" si="0"/>
        <v>18.204081632653061</v>
      </c>
      <c r="H13" s="9">
        <f>ROUND(H11-(H11/(1+I13)),0)</f>
        <v>941</v>
      </c>
      <c r="I13" s="1488">
        <v>4.4400000000000002E-2</v>
      </c>
      <c r="J13" s="64"/>
      <c r="K13" s="1527">
        <f>IF(H13=0,"0.00%",(L13-H13)/H13)</f>
        <v>-0.35494155154091395</v>
      </c>
      <c r="L13" s="9">
        <f>ROUND(L11-(L11/(1+E13)),0)-182</f>
        <v>607</v>
      </c>
      <c r="M13" s="1315" t="s">
        <v>238</v>
      </c>
      <c r="O13" s="1527">
        <f>IF(L13=0,"0.00%",(P13-L13)/L13)</f>
        <v>-9.0609555189456348E-2</v>
      </c>
      <c r="P13" s="9">
        <f>ROUND(P11-(P11/(1+E13)),0)-237</f>
        <v>552</v>
      </c>
      <c r="Q13" s="1315" t="s">
        <v>238</v>
      </c>
      <c r="S13" s="83">
        <f>IF(P13=0,"0.00%",(T13-P13)/P13)</f>
        <v>-1</v>
      </c>
      <c r="T13" s="77">
        <f>ROUND((T11-T89)-((T11-T89)/(1+R13)),0)</f>
        <v>0</v>
      </c>
      <c r="U13" s="105"/>
      <c r="W13" s="83" t="str">
        <f>IF(T13=0,"0.00%",(X13-T13)/T13)</f>
        <v>0.00%</v>
      </c>
      <c r="X13" s="77">
        <f>ROUND((X11-X89)-((X11-X89)/(1+V13)),0)</f>
        <v>0</v>
      </c>
      <c r="Y13" s="105"/>
      <c r="AA13" s="83" t="str">
        <f>IF(X13=0,"0.00%",(AB13-X13)/X13)</f>
        <v>0.00%</v>
      </c>
      <c r="AB13" s="77">
        <f>ROUND((AB11-AB89)-((AB11-AB89)/(1+Z13)),0)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1461</v>
      </c>
      <c r="E15" s="1315"/>
      <c r="G15" s="1527">
        <f t="shared" si="0"/>
        <v>13.501026694045175</v>
      </c>
      <c r="H15" s="9">
        <f>H11-H13</f>
        <v>21186</v>
      </c>
      <c r="I15" s="1882">
        <f>+H15-D15</f>
        <v>19725</v>
      </c>
      <c r="J15" s="62"/>
      <c r="K15" s="1527">
        <f>IF(H15=0,"0.00%",(L15-H15)/H15)</f>
        <v>1.5765127914660625E-2</v>
      </c>
      <c r="L15" s="9">
        <f>L11-L13</f>
        <v>21520</v>
      </c>
      <c r="M15" s="1882">
        <f>+L15-H15</f>
        <v>334</v>
      </c>
      <c r="O15" s="1527">
        <f>IF(L15=0,"0.00%",(P15-L15)/L15)</f>
        <v>2.5557620817843866E-3</v>
      </c>
      <c r="P15" s="9">
        <f>P11-P13</f>
        <v>21575</v>
      </c>
      <c r="Q15" s="1882">
        <f>+P15-L15</f>
        <v>55</v>
      </c>
      <c r="S15" s="83">
        <f>IF(P15=0,"0.00%",(T15-P15)/P15)</f>
        <v>2.5585168018539977E-2</v>
      </c>
      <c r="T15" s="19">
        <f>T11-T13</f>
        <v>22127</v>
      </c>
      <c r="U15" s="105"/>
      <c r="W15" s="83">
        <f>IF(T15=0,"0.00%",(X15-T15)/T15)</f>
        <v>0</v>
      </c>
      <c r="X15" s="19">
        <f>X11-X13</f>
        <v>22127</v>
      </c>
      <c r="Y15" s="105"/>
      <c r="AA15" s="83">
        <f>IF(X15=0,"0.00%",(AB15-X15)/X15)</f>
        <v>0</v>
      </c>
      <c r="AB15" s="19">
        <f>AB11-AB13</f>
        <v>22127</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K18" s="1550" t="s">
        <v>141</v>
      </c>
      <c r="M18" s="1316"/>
      <c r="Q18" s="1316"/>
      <c r="U18" s="106"/>
      <c r="Y18" s="106"/>
      <c r="AC18" s="106"/>
    </row>
    <row r="19" spans="1:29" ht="17.25" x14ac:dyDescent="0.4">
      <c r="A19" s="150"/>
      <c r="D19" s="35" t="s">
        <v>875</v>
      </c>
      <c r="E19" s="1246"/>
      <c r="F19" s="34"/>
      <c r="H19" s="35" t="s">
        <v>48</v>
      </c>
      <c r="I19" s="1256"/>
      <c r="J19" s="29"/>
      <c r="L19" s="14" t="s">
        <v>48</v>
      </c>
      <c r="M19" s="1397">
        <v>0.02</v>
      </c>
      <c r="P19" s="14" t="s">
        <v>48</v>
      </c>
      <c r="Q19" s="1397">
        <v>0.02</v>
      </c>
      <c r="T19" s="14" t="s">
        <v>48</v>
      </c>
      <c r="U19" s="104">
        <v>0.02</v>
      </c>
      <c r="X19" s="14" t="s">
        <v>48</v>
      </c>
      <c r="Y19" s="104">
        <v>0.02</v>
      </c>
      <c r="AB19" s="14" t="s">
        <v>48</v>
      </c>
      <c r="AC19" s="104">
        <v>0.02</v>
      </c>
    </row>
    <row r="20" spans="1:29" s="13" customFormat="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x14ac:dyDescent="0.25">
      <c r="A21" s="152"/>
      <c r="B21" s="1326">
        <v>1106</v>
      </c>
      <c r="C21" s="1243" t="s">
        <v>242</v>
      </c>
      <c r="D21" s="2">
        <v>1267</v>
      </c>
      <c r="E21" s="1249"/>
      <c r="F21" s="2"/>
      <c r="G21" s="1527">
        <f t="shared" ref="G21:G30" si="1">IF(D21=0,"0.00%",(H21-D21)/D21)</f>
        <v>13.288082083662195</v>
      </c>
      <c r="H21" s="2">
        <v>18103</v>
      </c>
      <c r="I21" s="1240" t="s">
        <v>174</v>
      </c>
      <c r="J21" s="66"/>
      <c r="K21" s="1527">
        <f t="shared" ref="K21:K27" si="2">IF(H21=0,"0.00%",(L21-H21)/H21)</f>
        <v>0</v>
      </c>
      <c r="L21" s="2">
        <f>+H21</f>
        <v>18103</v>
      </c>
      <c r="M21" s="1257" t="s">
        <v>174</v>
      </c>
      <c r="O21" s="1527">
        <f t="shared" ref="O21:O27" si="3">IF(L21=0,"0.00%",(P21-L21)/L21)</f>
        <v>0</v>
      </c>
      <c r="P21" s="2">
        <f>+L21</f>
        <v>18103</v>
      </c>
      <c r="Q21" s="1257" t="s">
        <v>174</v>
      </c>
      <c r="S21" s="83">
        <f t="shared" ref="S21:S27" si="4">IF(P21=0,"0.00%",(T21-P21)/P21)</f>
        <v>0</v>
      </c>
      <c r="T21" s="2">
        <f>+P21</f>
        <v>18103</v>
      </c>
      <c r="U21" s="36" t="s">
        <v>174</v>
      </c>
      <c r="W21" s="83">
        <f t="shared" ref="W21:W27" si="5">IF(T21=0,"0.00%",(X21-T21)/T21)</f>
        <v>1.9996685632215655E-2</v>
      </c>
      <c r="X21" s="2">
        <f>ROUND(T21*(1+Y19),0)</f>
        <v>18465</v>
      </c>
      <c r="Y21" s="36" t="str">
        <f>TEXT(Y19,"0.0%")&amp;" = Est. S &amp; C"</f>
        <v>2.0% = Est. S &amp; C</v>
      </c>
      <c r="AA21" s="83">
        <f t="shared" ref="AA21:AA27" si="6">IF(X21=0,"0.00%",(AB21-X21)/X21)</f>
        <v>1.9983753046303818E-2</v>
      </c>
      <c r="AB21" s="2">
        <f>ROUND(X21*(1+AC19),0)</f>
        <v>18834</v>
      </c>
      <c r="AC21" s="36" t="str">
        <f>TEXT(AC19,"0.0%")&amp;" = Est. S &amp; C"</f>
        <v>2.0% = Est. S &amp; C</v>
      </c>
    </row>
    <row r="22" spans="1:29" hidden="1" x14ac:dyDescent="0.25">
      <c r="A22" s="153"/>
      <c r="B22" s="1326"/>
      <c r="D22" s="2">
        <v>0</v>
      </c>
      <c r="E22" s="1249"/>
      <c r="F22" s="2"/>
      <c r="G22" s="1527" t="str">
        <f t="shared" si="1"/>
        <v>0.00%</v>
      </c>
      <c r="H22" s="2">
        <f t="shared" ref="H22:H27" si="7">ROUND(D22*(1+$I$19),0)</f>
        <v>0</v>
      </c>
      <c r="I22" s="1257" t="str">
        <f t="shared" ref="I22:I28" si="8">TEXT($I$19,"0.0%")&amp;" = Est. S &amp; C"</f>
        <v>0.0% = Est. S &amp; C</v>
      </c>
      <c r="J22" s="66"/>
      <c r="K22" s="1527" t="str">
        <f t="shared" si="2"/>
        <v>0.00%</v>
      </c>
      <c r="L22" s="2">
        <f>ROUND(H22*(1+M19),0)</f>
        <v>0</v>
      </c>
      <c r="M22" s="1257" t="str">
        <f>TEXT(M19,"0.0%")&amp;" = Est. S &amp; C"</f>
        <v>2.0% = Est. S &amp; C</v>
      </c>
      <c r="O22" s="1527" t="str">
        <f t="shared" si="3"/>
        <v>0.00%</v>
      </c>
      <c r="P22" s="2">
        <f>ROUND(L22*(1+Q19),0)</f>
        <v>0</v>
      </c>
      <c r="Q22" s="1257" t="str">
        <f>TEXT(Q19,"0.0%")&amp;" = Est. S &amp; C"</f>
        <v>2.0% = Est. S &amp; C</v>
      </c>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7"/>
        <v>0</v>
      </c>
      <c r="I23" s="1257" t="str">
        <f t="shared" si="8"/>
        <v>0.0% = Est. S &amp; C</v>
      </c>
      <c r="J23" s="66"/>
      <c r="K23" s="1527" t="str">
        <f t="shared" si="2"/>
        <v>0.00%</v>
      </c>
      <c r="L23" s="2">
        <f>ROUND(H23*(1+M19),0)</f>
        <v>0</v>
      </c>
      <c r="M23" s="1257" t="str">
        <f>TEXT(M19,"0.0%")&amp;" = Est. S &amp; C"</f>
        <v>2.0% = Est. S &amp; C</v>
      </c>
      <c r="O23" s="1527" t="str">
        <f t="shared" si="3"/>
        <v>0.00%</v>
      </c>
      <c r="P23" s="2">
        <f>ROUND(L23*(1+Q19),0)</f>
        <v>0</v>
      </c>
      <c r="Q23" s="1257"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7"/>
        <v>0</v>
      </c>
      <c r="I24" s="1257" t="str">
        <f t="shared" si="8"/>
        <v>0.0% = Est. S &amp; C</v>
      </c>
      <c r="J24" s="66"/>
      <c r="K24" s="1527" t="str">
        <f t="shared" si="2"/>
        <v>0.00%</v>
      </c>
      <c r="L24" s="2">
        <f>ROUND(H24*(1+M19),0)</f>
        <v>0</v>
      </c>
      <c r="M24" s="1257" t="str">
        <f>TEXT(M19,"0.0%")&amp;" = Est. S &amp; C"</f>
        <v>2.0% = Est. S &amp; C</v>
      </c>
      <c r="O24" s="1527" t="str">
        <f t="shared" si="3"/>
        <v>0.00%</v>
      </c>
      <c r="P24" s="2">
        <f>ROUND(L24*(1+Q19),0)</f>
        <v>0</v>
      </c>
      <c r="Q24" s="125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7"/>
        <v>0</v>
      </c>
      <c r="I25" s="1257" t="str">
        <f t="shared" si="8"/>
        <v>0.0% = Est. S &amp; C</v>
      </c>
      <c r="J25" s="66"/>
      <c r="K25" s="1527" t="str">
        <f t="shared" si="2"/>
        <v>0.00%</v>
      </c>
      <c r="L25" s="2">
        <f>ROUND(H25*(1+M19),0)</f>
        <v>0</v>
      </c>
      <c r="M25" s="1257" t="str">
        <f>TEXT(M19,"0.0%")&amp;" = Est. S &amp; C"</f>
        <v>2.0% = Est. S &amp; C</v>
      </c>
      <c r="O25" s="1527" t="str">
        <f t="shared" si="3"/>
        <v>0.00%</v>
      </c>
      <c r="P25" s="2">
        <f>ROUND(L25*(1+Q19),0)</f>
        <v>0</v>
      </c>
      <c r="Q25" s="125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7"/>
        <v>0</v>
      </c>
      <c r="I26" s="1257" t="str">
        <f t="shared" si="8"/>
        <v>0.0% = Est. S &amp; C</v>
      </c>
      <c r="J26" s="66"/>
      <c r="K26" s="1527" t="str">
        <f t="shared" si="2"/>
        <v>0.00%</v>
      </c>
      <c r="L26" s="2">
        <f>ROUND(H26*(1+M19),0)</f>
        <v>0</v>
      </c>
      <c r="M26" s="1257" t="str">
        <f>TEXT(M19,"0.0%")&amp;" = Est. S &amp; C"</f>
        <v>2.0% = Est. S &amp; C</v>
      </c>
      <c r="O26" s="1527" t="str">
        <f t="shared" si="3"/>
        <v>0.00%</v>
      </c>
      <c r="P26" s="2">
        <f>ROUND(L26*(1+Q19),0)</f>
        <v>0</v>
      </c>
      <c r="Q26" s="125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7"/>
        <v>0</v>
      </c>
      <c r="I27" s="1257" t="str">
        <f t="shared" si="8"/>
        <v>0.0% = Est. S &amp; C</v>
      </c>
      <c r="J27" s="66"/>
      <c r="K27" s="1527" t="str">
        <f t="shared" si="2"/>
        <v>0.00%</v>
      </c>
      <c r="L27" s="2">
        <f>ROUND(H27*(1+M19),0)</f>
        <v>0</v>
      </c>
      <c r="M27" s="1257" t="str">
        <f>TEXT(M19,"0.0%")&amp;" = Est. S &amp; C"</f>
        <v>2.0% = Est. S &amp; C</v>
      </c>
      <c r="O27" s="1527" t="str">
        <f t="shared" si="3"/>
        <v>0.00%</v>
      </c>
      <c r="P27" s="2">
        <f>ROUND(L27*(1+Q19),0)</f>
        <v>0</v>
      </c>
      <c r="Q27" s="1257"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8"/>
        <v>0.0%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x14ac:dyDescent="0.25">
      <c r="A30" s="154"/>
      <c r="B30" s="1326"/>
      <c r="D30" s="8">
        <f>SUM(D21:D29)</f>
        <v>1267</v>
      </c>
      <c r="E30" s="1249"/>
      <c r="F30" s="2"/>
      <c r="G30" s="1527">
        <f t="shared" si="1"/>
        <v>13.288082083662195</v>
      </c>
      <c r="H30" s="8">
        <f>SUM(H21:H29)</f>
        <v>18103</v>
      </c>
      <c r="I30" s="1882">
        <f>+H30-D30</f>
        <v>16836</v>
      </c>
      <c r="J30" s="29"/>
      <c r="K30" s="1527">
        <f>IF(H30=0,"0.00%",(L30-H30)/H30)</f>
        <v>0</v>
      </c>
      <c r="L30" s="8">
        <f>SUM(L21:L29)</f>
        <v>18103</v>
      </c>
      <c r="M30" s="1882">
        <f>+L30-H30</f>
        <v>0</v>
      </c>
      <c r="O30" s="1527">
        <f>IF(L30=0,"0.00%",(P30-L30)/L30)</f>
        <v>0</v>
      </c>
      <c r="P30" s="8">
        <f>SUM(P21:P29)</f>
        <v>18103</v>
      </c>
      <c r="Q30" s="1882">
        <f>+P30-L30</f>
        <v>0</v>
      </c>
      <c r="S30" s="83">
        <f>IF(P30=0,"0.00%",(T30-P30)/P30)</f>
        <v>0</v>
      </c>
      <c r="T30" s="8">
        <f>SUM(T21:T29)</f>
        <v>18103</v>
      </c>
      <c r="U30" s="73"/>
      <c r="W30" s="83">
        <f>IF(T30=0,"0.00%",(X30-T30)/T30)</f>
        <v>1.9996685632215655E-2</v>
      </c>
      <c r="X30" s="8">
        <f>SUM(X21:X29)</f>
        <v>18465</v>
      </c>
      <c r="Y30" s="73"/>
      <c r="AA30" s="83">
        <f>IF(X30=0,"0.00%",(AB30-X30)/X30)</f>
        <v>1.9983753046303818E-2</v>
      </c>
      <c r="AB30" s="8">
        <f>SUM(AB21:AB29)</f>
        <v>18834</v>
      </c>
      <c r="AC30" s="73"/>
    </row>
    <row r="31" spans="1:29" hidden="1" x14ac:dyDescent="0.25">
      <c r="A31" s="153"/>
      <c r="E31" s="1249"/>
      <c r="F31" s="2"/>
      <c r="H31" s="2"/>
      <c r="I31" s="1240"/>
      <c r="J31" s="66"/>
      <c r="L31" s="2"/>
      <c r="M31" s="1336"/>
      <c r="Q31" s="1336"/>
      <c r="T31" s="2"/>
      <c r="U31" s="73"/>
      <c r="X31" s="2"/>
      <c r="Y31" s="73"/>
      <c r="AB31" s="2"/>
      <c r="AC31" s="73"/>
    </row>
    <row r="32" spans="1:29" s="4" customFormat="1" hidden="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c r="E33" s="1249"/>
      <c r="F33" s="2"/>
      <c r="G33" s="1527" t="str">
        <f t="shared" ref="G33:G39" si="9">IF(D33=0,"0.00%",(H33-D33)/D33)</f>
        <v>0.00%</v>
      </c>
      <c r="H33" s="2">
        <f t="shared" ref="H33:H39" si="10">ROUND(D33*(1+$I$19),0)</f>
        <v>0</v>
      </c>
      <c r="I33" s="1257" t="str">
        <f t="shared" ref="I33:I38" si="11">TEXT($I$19,"0.0%")&amp;" = Est. S &amp; C"</f>
        <v>0.0% = Est. S &amp; C</v>
      </c>
      <c r="J33" s="66"/>
      <c r="K33" s="1527" t="str">
        <f t="shared" ref="K33:K39" si="12">IF(H33=0,"0.00%",(L33-H33)/H33)</f>
        <v>0.00%</v>
      </c>
      <c r="L33" s="2">
        <f>ROUND(H33*(1+M19),0)</f>
        <v>0</v>
      </c>
      <c r="M33" s="1257"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E34" s="1249"/>
      <c r="F34" s="2"/>
      <c r="G34" s="1527" t="str">
        <f t="shared" si="9"/>
        <v>0.00%</v>
      </c>
      <c r="H34" s="2">
        <f t="shared" si="10"/>
        <v>0</v>
      </c>
      <c r="I34" s="1257" t="str">
        <f t="shared" si="11"/>
        <v>0.0% = Est. S &amp; C</v>
      </c>
      <c r="J34" s="66"/>
      <c r="K34" s="1527" t="str">
        <f t="shared" si="12"/>
        <v>0.00%</v>
      </c>
      <c r="L34" s="2">
        <f>ROUND(H34*(1+M19),0)</f>
        <v>0</v>
      </c>
      <c r="M34" s="1257" t="str">
        <f t="shared" ref="M34:M38" si="17">TEXT($M$19,"0.0%")&amp;" = Est. S &amp; C"</f>
        <v>2.0% = Est. S &amp; C</v>
      </c>
      <c r="O34" s="1527" t="str">
        <f t="shared" si="13"/>
        <v>0.00%</v>
      </c>
      <c r="P34" s="2">
        <f>ROUND(L34*(1+Q19),0)</f>
        <v>0</v>
      </c>
      <c r="Q34" s="1257" t="str">
        <f t="shared" ref="Q34:Q38" si="18">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E35" s="1249"/>
      <c r="F35" s="2"/>
      <c r="G35" s="1527" t="str">
        <f t="shared" si="9"/>
        <v>0.00%</v>
      </c>
      <c r="H35" s="2">
        <f t="shared" si="10"/>
        <v>0</v>
      </c>
      <c r="I35" s="1257" t="str">
        <f t="shared" si="11"/>
        <v>0.0% = Est. S &amp; C</v>
      </c>
      <c r="J35" s="66"/>
      <c r="K35" s="1527" t="str">
        <f t="shared" si="12"/>
        <v>0.00%</v>
      </c>
      <c r="L35" s="2">
        <f>ROUND(H35*(1+M19),0)</f>
        <v>0</v>
      </c>
      <c r="M35" s="1257" t="str">
        <f t="shared" si="17"/>
        <v>2.0% = Est. S &amp; C</v>
      </c>
      <c r="O35" s="1527" t="str">
        <f t="shared" si="13"/>
        <v>0.00%</v>
      </c>
      <c r="P35" s="2">
        <f>ROUND(L35*(1+Q19),0)</f>
        <v>0</v>
      </c>
      <c r="Q35" s="1257" t="str">
        <f t="shared" si="18"/>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E36" s="1249"/>
      <c r="F36" s="2"/>
      <c r="G36" s="1527" t="str">
        <f t="shared" si="9"/>
        <v>0.00%</v>
      </c>
      <c r="H36" s="2">
        <f t="shared" si="10"/>
        <v>0</v>
      </c>
      <c r="I36" s="1257" t="str">
        <f t="shared" si="11"/>
        <v>0.0% = Est. S &amp; C</v>
      </c>
      <c r="J36" s="66"/>
      <c r="K36" s="1527" t="str">
        <f t="shared" si="12"/>
        <v>0.00%</v>
      </c>
      <c r="L36" s="2">
        <v>0</v>
      </c>
      <c r="M36" s="1257" t="str">
        <f t="shared" si="17"/>
        <v>2.0% = Est. S &amp; C</v>
      </c>
      <c r="O36" s="1527" t="str">
        <f t="shared" si="13"/>
        <v>0.00%</v>
      </c>
      <c r="P36" s="2">
        <v>0</v>
      </c>
      <c r="Q36" s="1257" t="str">
        <f t="shared" si="18"/>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E37" s="1249"/>
      <c r="F37" s="2"/>
      <c r="G37" s="1527" t="str">
        <f t="shared" si="9"/>
        <v>0.00%</v>
      </c>
      <c r="H37" s="2">
        <f t="shared" si="10"/>
        <v>0</v>
      </c>
      <c r="I37" s="1257" t="str">
        <f t="shared" si="11"/>
        <v>0.0% = Est. S &amp; C</v>
      </c>
      <c r="J37" s="66"/>
      <c r="K37" s="1527" t="str">
        <f t="shared" si="12"/>
        <v>0.00%</v>
      </c>
      <c r="L37" s="2">
        <f>ROUND(H37*(1+M19),0)</f>
        <v>0</v>
      </c>
      <c r="M37" s="1257" t="str">
        <f t="shared" si="17"/>
        <v>2.0% = Est. S &amp; C</v>
      </c>
      <c r="O37" s="1527" t="str">
        <f t="shared" si="13"/>
        <v>0.00%</v>
      </c>
      <c r="P37" s="2">
        <f>ROUND(L37*(1+Q19),0)</f>
        <v>0</v>
      </c>
      <c r="Q37" s="1257" t="str">
        <f t="shared" si="18"/>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E38" s="1249"/>
      <c r="F38" s="2"/>
      <c r="G38" s="1527" t="str">
        <f t="shared" si="9"/>
        <v>0.00%</v>
      </c>
      <c r="H38" s="2">
        <f t="shared" si="10"/>
        <v>0</v>
      </c>
      <c r="I38" s="1257" t="str">
        <f t="shared" si="11"/>
        <v>0.0% = Est. S &amp; C</v>
      </c>
      <c r="J38" s="66"/>
      <c r="K38" s="1527" t="str">
        <f t="shared" si="12"/>
        <v>0.00%</v>
      </c>
      <c r="L38" s="2">
        <f>ROUND(H38*(1+M19),0)</f>
        <v>0</v>
      </c>
      <c r="M38" s="1257" t="str">
        <f t="shared" si="17"/>
        <v>2.0% = Est. S &amp; C</v>
      </c>
      <c r="O38" s="1527" t="str">
        <f t="shared" si="13"/>
        <v>0.00%</v>
      </c>
      <c r="P38" s="2">
        <f>ROUND(L38*(1+Q19),0)</f>
        <v>0</v>
      </c>
      <c r="Q38" s="1257" t="str">
        <f t="shared" si="18"/>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0"/>
        <v>0</v>
      </c>
      <c r="I39" s="1257"/>
      <c r="J39" s="66"/>
      <c r="K39" s="1527" t="str">
        <f t="shared" si="12"/>
        <v>0.00%</v>
      </c>
      <c r="L39" s="2"/>
      <c r="M39" s="1257"/>
      <c r="O39" s="1527" t="str">
        <f t="shared" si="13"/>
        <v>0.00%</v>
      </c>
      <c r="Q39" s="1257"/>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hidden="1"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3"/>
      <c r="B42" s="1317" t="s">
        <v>28</v>
      </c>
      <c r="E42" s="1249"/>
      <c r="F42" s="2"/>
      <c r="H42" s="2"/>
      <c r="I42" s="1257"/>
      <c r="J42" s="66"/>
      <c r="L42" s="2"/>
      <c r="M42" s="1335"/>
      <c r="Q42" s="1335"/>
      <c r="T42" s="2"/>
      <c r="U42" s="73"/>
      <c r="X42" s="2"/>
      <c r="Y42" s="73"/>
      <c r="AB42" s="2"/>
      <c r="AC42" s="73"/>
    </row>
    <row r="43" spans="1:29" x14ac:dyDescent="0.25">
      <c r="A43" s="155"/>
      <c r="B43" s="1323" t="s">
        <v>27</v>
      </c>
      <c r="E43" s="1249"/>
      <c r="F43" s="2"/>
      <c r="H43" s="2"/>
      <c r="I43" s="1257"/>
      <c r="J43" s="66"/>
      <c r="L43" s="2"/>
      <c r="M43" s="1335"/>
      <c r="Q43" s="1335"/>
      <c r="T43" s="2"/>
      <c r="U43" s="73"/>
      <c r="X43" s="2"/>
      <c r="Y43" s="73"/>
      <c r="AB43" s="2"/>
      <c r="AC43" s="73"/>
    </row>
    <row r="44" spans="1:29" x14ac:dyDescent="0.25">
      <c r="A44" s="153"/>
      <c r="B44" s="1326" t="s">
        <v>83</v>
      </c>
      <c r="C44" s="1243" t="s">
        <v>76</v>
      </c>
      <c r="D44" s="2">
        <v>160</v>
      </c>
      <c r="E44" s="1240" t="str">
        <f>TEXT('MYP Assumptions'!$D$52,"0.00%")&amp;", STRS rate"</f>
        <v>12.58%, STRS rate</v>
      </c>
      <c r="F44" s="2"/>
      <c r="G44" s="1527">
        <f t="shared" ref="G44:G53" si="19">IF(D44=0,"0.00%",(H44-D44)/D44)</f>
        <v>15.331250000000001</v>
      </c>
      <c r="H44" s="2">
        <f>ROUND(H30*LEFT(I44,6),0)+1</f>
        <v>2613</v>
      </c>
      <c r="I44" s="1240" t="str">
        <f>TEXT('MYP Assumptions'!E52,"0.00%")&amp;", projected STRS rate"</f>
        <v>14.43%, projected STRS rate</v>
      </c>
      <c r="J44" s="66"/>
      <c r="K44" s="1527">
        <f t="shared" ref="K44:K53" si="20">IF(H44=0,"0.00%",(L44-H44)/H44)</f>
        <v>0.12782242632988902</v>
      </c>
      <c r="L44" s="2">
        <f>ROUND(L30*LEFT(M44,6),0)</f>
        <v>2947</v>
      </c>
      <c r="M44" s="1240" t="str">
        <f>TEXT('MYP Assumptions'!F52,"0.00%")&amp;", projected STRS rate"</f>
        <v>16.28%, projected STRS rate</v>
      </c>
      <c r="O44" s="1527">
        <f t="shared" ref="O44:O53" si="21">IF(L44=0,"0.00%",(P44-L44)/L44)</f>
        <v>1.8663047166610113E-2</v>
      </c>
      <c r="P44" s="2">
        <f>ROUND(+L44*1.0185,0)</f>
        <v>3002</v>
      </c>
      <c r="Q44" s="1240" t="str">
        <f>TEXT('MYP Assumptions'!G52,"0.00%")&amp;", projected STRS rate"</f>
        <v>18.13%, projected STRS rate</v>
      </c>
      <c r="S44" s="83">
        <f t="shared" ref="S44:S53" si="22">IF(P44=0,"0.00%",(T44-P44)/P44)</f>
        <v>0.15189873417721519</v>
      </c>
      <c r="T44" s="2">
        <f>ROUND(T30*LEFT(U44,6),0)</f>
        <v>3458</v>
      </c>
      <c r="U44" s="81" t="str">
        <f>TEXT('MYP Assumptions'!H52,"0.00%")&amp;", projected STRS rate"</f>
        <v>19.10%, projected STRS rate</v>
      </c>
      <c r="W44" s="83">
        <f t="shared" ref="W44:W53" si="23">IF(T44=0,"0.00%",(X44-T44)/T44)</f>
        <v>1.9953730480046269E-2</v>
      </c>
      <c r="X44" s="2">
        <f>ROUND(X30*LEFT(Y44,6),0)</f>
        <v>3527</v>
      </c>
      <c r="Y44" s="81" t="str">
        <f>TEXT('MYP Assumptions'!I52,"0.00%")&amp;", projected STRS rate"</f>
        <v>19.10%, projected STRS rate</v>
      </c>
      <c r="AA44" s="83">
        <f t="shared" ref="AA44:AA53" si="24">IF(X44=0,"0.00%",(AB44-X44)/X44)</f>
        <v>1.9846895378508648E-2</v>
      </c>
      <c r="AB44" s="2">
        <f>ROUND(AB30*LEFT(AC44,6),0)</f>
        <v>3597</v>
      </c>
      <c r="AC44" s="81" t="str">
        <f>TEXT('MYP Assumptions'!J52,"0.00%")&amp;", projected STRS rate"</f>
        <v>19.10%, projected STRS rate</v>
      </c>
    </row>
    <row r="45" spans="1:29" x14ac:dyDescent="0.25">
      <c r="A45" s="153"/>
      <c r="B45" s="1326" t="s">
        <v>84</v>
      </c>
      <c r="C45" s="1243" t="s">
        <v>77</v>
      </c>
      <c r="D45" s="2">
        <v>0</v>
      </c>
      <c r="E45" s="1240" t="str">
        <f>TEXT('MYP Assumptions'!$D$53,"0.00%")&amp;", PERS rate"</f>
        <v>13.89%, PERS rate</v>
      </c>
      <c r="F45" s="2"/>
      <c r="G45" s="1527" t="str">
        <f t="shared" si="19"/>
        <v>0.00%</v>
      </c>
      <c r="H45" s="2">
        <f>ROUND(H41*LEFT(I45,6),0)</f>
        <v>0</v>
      </c>
      <c r="I45" s="1240" t="str">
        <f>TEXT('MYP Assumptions'!E53,"0.00%")&amp;", projected PERS rate"</f>
        <v>15.53%, projected PERS rate</v>
      </c>
      <c r="J45" s="66"/>
      <c r="K45" s="1527" t="str">
        <f t="shared" si="20"/>
        <v>0.00%</v>
      </c>
      <c r="L45" s="2">
        <f>ROUND(L41*LEFT(M45,6),0)</f>
        <v>0</v>
      </c>
      <c r="M45" s="1240" t="str">
        <f>TEXT('MYP Assumptions'!F53,"0.00%")&amp;", projected PERS rate"</f>
        <v>18.10%, projected PERS rate</v>
      </c>
      <c r="O45" s="1527" t="str">
        <f t="shared" si="21"/>
        <v>0.00%</v>
      </c>
      <c r="P45" s="2">
        <f>ROUND((P41-P37-P38)*LEFT(Q45,6),0)</f>
        <v>0</v>
      </c>
      <c r="Q45" s="1240" t="str">
        <f>TEXT('MYP Assumptions'!G53,"0.00%")&amp;", projected PERS rate"</f>
        <v>20.80%, projected PERS rate</v>
      </c>
      <c r="S45" s="83" t="str">
        <f t="shared" si="22"/>
        <v>0.00%</v>
      </c>
      <c r="T45" s="2">
        <f>ROUND(T41*LEFT(U45,6),0)</f>
        <v>0</v>
      </c>
      <c r="U45" s="81" t="str">
        <f>TEXT('MYP Assumptions'!H53,"0.00%")&amp;", projected PERS rate"</f>
        <v>23.80%, projected PERS rate</v>
      </c>
      <c r="W45" s="83" t="str">
        <f t="shared" si="23"/>
        <v>0.00%</v>
      </c>
      <c r="X45" s="2">
        <f>ROUND(X41*LEFT(Y45,6),0)</f>
        <v>0</v>
      </c>
      <c r="Y45" s="81" t="str">
        <f>TEXT('MYP Assumptions'!I53,"0.00%")&amp;", projected PERS rate"</f>
        <v>25.20%, projected PERS rate</v>
      </c>
      <c r="AA45" s="83" t="str">
        <f t="shared" si="24"/>
        <v>0.00%</v>
      </c>
      <c r="AB45" s="2">
        <f>ROUND(AB41*LEFT(AC45,6),0)</f>
        <v>0</v>
      </c>
      <c r="AC45" s="81" t="str">
        <f>TEXT('MYP Assumptions'!J53,"0.00%")&amp;", projected PERS rate"</f>
        <v>26.10%, projected PERS rate</v>
      </c>
    </row>
    <row r="46" spans="1:29" x14ac:dyDescent="0.25">
      <c r="A46" s="153"/>
      <c r="B46" s="1326" t="s">
        <v>85</v>
      </c>
      <c r="C46" s="1243" t="s">
        <v>78</v>
      </c>
      <c r="D46" s="2">
        <v>0</v>
      </c>
      <c r="E46" s="1240" t="str">
        <f>TEXT('MYP Assumptions'!$D$54,"0.00%")&amp;", SS rate"</f>
        <v>6.20%, SS rate</v>
      </c>
      <c r="F46" s="2"/>
      <c r="G46" s="1527" t="str">
        <f t="shared" si="19"/>
        <v>0.00%</v>
      </c>
      <c r="H46" s="2">
        <f>ROUND(H41*LEFT(I46,5),0)</f>
        <v>0</v>
      </c>
      <c r="I46" s="1240" t="str">
        <f>TEXT('MYP Assumptions'!E54,"0.00%")&amp;", no rate change"</f>
        <v>6.20%, no rate change</v>
      </c>
      <c r="J46" s="66"/>
      <c r="K46" s="1527" t="str">
        <f t="shared" si="20"/>
        <v>0.00%</v>
      </c>
      <c r="L46" s="2">
        <f>ROUND(L41*LEFT(M46,5),0)</f>
        <v>0</v>
      </c>
      <c r="M46" s="1240" t="str">
        <f>TEXT('MYP Assumptions'!F54,"0.00%")&amp;", no rate change"</f>
        <v>6.20%, no rate change</v>
      </c>
      <c r="O46" s="1527" t="str">
        <f t="shared" si="21"/>
        <v>0.00%</v>
      </c>
      <c r="P46" s="2">
        <f>ROUND(P41*LEFT(Q46,5),0)</f>
        <v>0</v>
      </c>
      <c r="Q46" s="1240" t="str">
        <f>TEXT('MYP Assumptions'!G54,"0.00%")&amp;", no rate change"</f>
        <v>6.20%, no rate change</v>
      </c>
      <c r="S46" s="83" t="str">
        <f t="shared" si="22"/>
        <v>0.00%</v>
      </c>
      <c r="T46" s="2">
        <f>ROUND(T41*LEFT(U46,5),0)</f>
        <v>0</v>
      </c>
      <c r="U46" s="81" t="str">
        <f>TEXT('MYP Assumptions'!H54,"0.00%")&amp;", no rate change"</f>
        <v>6.20%, no rate change</v>
      </c>
      <c r="W46" s="83" t="str">
        <f t="shared" si="23"/>
        <v>0.00%</v>
      </c>
      <c r="X46" s="2">
        <f>ROUND(X41*LEFT(Y46,5),0)</f>
        <v>0</v>
      </c>
      <c r="Y46" s="81" t="str">
        <f>TEXT('MYP Assumptions'!I54,"0.00%")&amp;", no rate change"</f>
        <v>6.20%, no rate change</v>
      </c>
      <c r="AA46" s="83" t="str">
        <f t="shared" si="24"/>
        <v>0.00%</v>
      </c>
      <c r="AB46" s="2">
        <f>ROUND(AB41*LEFT(AC46,5),0)</f>
        <v>0</v>
      </c>
      <c r="AC46" s="81" t="str">
        <f>TEXT('MYP Assumptions'!J54,"0.00%")&amp;", no rate change"</f>
        <v>6.20%, no rate change</v>
      </c>
    </row>
    <row r="47" spans="1:29" x14ac:dyDescent="0.25">
      <c r="A47" s="153"/>
      <c r="B47" s="1326" t="s">
        <v>86</v>
      </c>
      <c r="C47" s="1243" t="s">
        <v>79</v>
      </c>
      <c r="D47" s="2">
        <v>19</v>
      </c>
      <c r="E47" s="1240" t="str">
        <f>TEXT('MYP Assumptions'!$D$55,"0.00%")&amp;", Medicare rate"</f>
        <v>1.45%, Medicare rate</v>
      </c>
      <c r="F47" s="2"/>
      <c r="G47" s="1527">
        <f t="shared" si="19"/>
        <v>12.789473684210526</v>
      </c>
      <c r="H47" s="2">
        <f>ROUND((H41+H30)*LEFT(I47,5),0)</f>
        <v>262</v>
      </c>
      <c r="I47" s="1240" t="str">
        <f>TEXT('MYP Assumptions'!E55,"0.00%")&amp;", no rate change"</f>
        <v>1.45%, no rate change</v>
      </c>
      <c r="J47" s="66"/>
      <c r="K47" s="1527">
        <f t="shared" si="20"/>
        <v>0</v>
      </c>
      <c r="L47" s="2">
        <f>ROUND((L41+L30)*LEFT(M47,5),0)</f>
        <v>262</v>
      </c>
      <c r="M47" s="1240" t="str">
        <f>TEXT('MYP Assumptions'!F55,"0.00%")&amp;", no rate change"</f>
        <v>1.45%, no rate change</v>
      </c>
      <c r="O47" s="1527">
        <f t="shared" si="21"/>
        <v>0</v>
      </c>
      <c r="P47" s="2">
        <f>ROUND((P41+P30)*LEFT(Q47,5),0)</f>
        <v>262</v>
      </c>
      <c r="Q47" s="1240" t="str">
        <f>TEXT('MYP Assumptions'!G55,"0.00%")&amp;", no rate change"</f>
        <v>1.45%, no rate change</v>
      </c>
      <c r="S47" s="83">
        <f t="shared" si="22"/>
        <v>0</v>
      </c>
      <c r="T47" s="2">
        <f>ROUND((T41+T30)*LEFT(U47,5),0)</f>
        <v>262</v>
      </c>
      <c r="U47" s="81" t="str">
        <f>TEXT('MYP Assumptions'!H55,"0.00%")&amp;", no rate change"</f>
        <v>1.45%, no rate change</v>
      </c>
      <c r="W47" s="83">
        <f t="shared" si="23"/>
        <v>2.2900763358778626E-2</v>
      </c>
      <c r="X47" s="2">
        <f>ROUND((X41+X30)*LEFT(Y47,5),0)</f>
        <v>268</v>
      </c>
      <c r="Y47" s="81" t="str">
        <f>TEXT('MYP Assumptions'!I55,"0.00%")&amp;", no rate change"</f>
        <v>1.45%, no rate change</v>
      </c>
      <c r="AA47" s="83">
        <f t="shared" si="24"/>
        <v>1.8656716417910446E-2</v>
      </c>
      <c r="AB47" s="2">
        <f>ROUND((AB41+AB30)*LEFT(AC47,5),0)</f>
        <v>273</v>
      </c>
      <c r="AC47" s="81" t="str">
        <f>TEXT('MYP Assumptions'!J55,"0.00%")&amp;", no rate change"</f>
        <v>1.45%, no rate change</v>
      </c>
    </row>
    <row r="48" spans="1:29" x14ac:dyDescent="0.25">
      <c r="A48" s="153"/>
      <c r="B48" s="1326" t="s">
        <v>87</v>
      </c>
      <c r="C48" s="1243" t="s">
        <v>80</v>
      </c>
      <c r="D48" s="2">
        <v>0</v>
      </c>
      <c r="E48" s="1240"/>
      <c r="F48" s="2"/>
      <c r="G48" s="1527" t="str">
        <f t="shared" si="19"/>
        <v>0.00%</v>
      </c>
      <c r="H48" s="2">
        <f>ROUND((D48)*(LEFT(I48,5)+1),0)</f>
        <v>0</v>
      </c>
      <c r="I48" s="1240" t="str">
        <f>TEXT('MYP Assumptions'!$M$62,"0.00%")&amp;", projected increase"</f>
        <v>7.00%, projected increase</v>
      </c>
      <c r="J48" s="66"/>
      <c r="K48" s="1527" t="str">
        <f t="shared" si="20"/>
        <v>0.00%</v>
      </c>
      <c r="L48" s="2">
        <f>ROUND((H48)*(LEFT(M48,5)+1),0)</f>
        <v>0</v>
      </c>
      <c r="M48" s="1240" t="str">
        <f>TEXT('MYP Assumptions'!$M$62,"0.00%")&amp;", projected increase"</f>
        <v>7.00%, projected increase</v>
      </c>
      <c r="O48" s="1527" t="str">
        <f t="shared" si="21"/>
        <v>0.00%</v>
      </c>
      <c r="P48" s="2">
        <f>ROUND((L48)*(LEFT(Q48,5)+1),0)</f>
        <v>0</v>
      </c>
      <c r="Q48" s="1240" t="str">
        <f>TEXT('MYP Assumptions'!$M$62,"0.00%")&amp;", projected increase"</f>
        <v>7.00%, projected increase</v>
      </c>
      <c r="S48" s="83" t="str">
        <f t="shared" si="22"/>
        <v>0.00%</v>
      </c>
      <c r="T48" s="2">
        <f>ROUND((P48)*(LEFT(U48,5)+1),0)</f>
        <v>0</v>
      </c>
      <c r="U48" s="81" t="str">
        <f>TEXT('MYP Assumptions'!$M$62,"0.00%")&amp;", projected increase"</f>
        <v>7.00%, projected increase</v>
      </c>
      <c r="W48" s="83" t="str">
        <f t="shared" si="23"/>
        <v>0.00%</v>
      </c>
      <c r="X48" s="2">
        <f>ROUND((T48)*(LEFT(Y48,5)+1),0)</f>
        <v>0</v>
      </c>
      <c r="Y48" s="81" t="str">
        <f>TEXT('MYP Assumptions'!$M$62,"0.00%")&amp;", projected increase"</f>
        <v>7.00%, projected increase</v>
      </c>
      <c r="AA48" s="83" t="str">
        <f t="shared" si="24"/>
        <v>0.00%</v>
      </c>
      <c r="AB48" s="2">
        <f>ROUND((X48)*(LEFT(AC48,5)+1),0)</f>
        <v>0</v>
      </c>
      <c r="AC48" s="81" t="str">
        <f>TEXT('MYP Assumptions'!$M$62,"0.00%")&amp;", projected increase"</f>
        <v>7.00%, projected increase</v>
      </c>
    </row>
    <row r="49" spans="1:29" x14ac:dyDescent="0.25">
      <c r="A49" s="153"/>
      <c r="B49" s="1326" t="s">
        <v>88</v>
      </c>
      <c r="C49" s="1243" t="s">
        <v>81</v>
      </c>
      <c r="D49" s="2">
        <v>1</v>
      </c>
      <c r="E49" s="1240" t="str">
        <f>TEXT('MYP Assumptions'!$D$56,"0.00%")&amp;", SUI rate"</f>
        <v>0.05%, SUI rate</v>
      </c>
      <c r="F49" s="2"/>
      <c r="G49" s="1527">
        <f t="shared" si="19"/>
        <v>8</v>
      </c>
      <c r="H49" s="2">
        <f>ROUND((H41+H30)*LEFT(I49,5),0)</f>
        <v>9</v>
      </c>
      <c r="I49" s="1240" t="str">
        <f>TEXT('MYP Assumptions'!E56,"0.00%")&amp;", no rate change"</f>
        <v>0.05%, no rate change</v>
      </c>
      <c r="J49" s="66"/>
      <c r="K49" s="1527">
        <f t="shared" si="20"/>
        <v>0</v>
      </c>
      <c r="L49" s="2">
        <f>ROUND((L41+L30)*LEFT(M49,5),0)</f>
        <v>9</v>
      </c>
      <c r="M49" s="1240" t="str">
        <f>TEXT('MYP Assumptions'!F56,"0.00%")&amp;", no rate change"</f>
        <v>0.05%, no rate change</v>
      </c>
      <c r="O49" s="1527">
        <f t="shared" si="21"/>
        <v>0</v>
      </c>
      <c r="P49" s="2">
        <f>ROUND((P41+P30)*LEFT(Q49,5),0)</f>
        <v>9</v>
      </c>
      <c r="Q49" s="1240" t="str">
        <f>TEXT('MYP Assumptions'!G56,"0.00%")&amp;", no rate change"</f>
        <v>0.05%, no rate change</v>
      </c>
      <c r="S49" s="83">
        <f t="shared" si="22"/>
        <v>0</v>
      </c>
      <c r="T49" s="2">
        <f>ROUND((T41+T30)*LEFT(U49,5),0)</f>
        <v>9</v>
      </c>
      <c r="U49" s="81" t="str">
        <f>TEXT('MYP Assumptions'!H56,"0.00%")&amp;", no rate change"</f>
        <v>0.05%, no rate change</v>
      </c>
      <c r="W49" s="83">
        <f t="shared" si="23"/>
        <v>0</v>
      </c>
      <c r="X49" s="2">
        <f>ROUND((X41+X30)*LEFT(Y49,5),0)</f>
        <v>9</v>
      </c>
      <c r="Y49" s="81" t="str">
        <f>TEXT('MYP Assumptions'!I56,"0.00%")&amp;", no rate change"</f>
        <v>0.05%, no rate change</v>
      </c>
      <c r="AA49" s="83">
        <f t="shared" si="24"/>
        <v>0</v>
      </c>
      <c r="AB49" s="2">
        <f>ROUND((AB41+AB30)*LEFT(AC49,5),0)</f>
        <v>9</v>
      </c>
      <c r="AC49" s="81" t="str">
        <f>TEXT('MYP Assumptions'!J56,"0.00%")&amp;", no rate change"</f>
        <v>0.05%, no rate change</v>
      </c>
    </row>
    <row r="50" spans="1:29" x14ac:dyDescent="0.25">
      <c r="A50" s="153"/>
      <c r="B50" s="1326" t="s">
        <v>89</v>
      </c>
      <c r="C50" s="1243" t="s">
        <v>82</v>
      </c>
      <c r="D50" s="2">
        <v>14</v>
      </c>
      <c r="E50" s="1240" t="str">
        <f>TEXT('MYP Assumptions'!$D$57,"0.00%")&amp;", W/C rate"</f>
        <v>1.10%, W/C rate</v>
      </c>
      <c r="F50" s="2"/>
      <c r="G50" s="1527">
        <f t="shared" si="19"/>
        <v>13.214285714285714</v>
      </c>
      <c r="H50" s="2">
        <f>ROUND((H41+H30)*LEFT(I50,5),0)</f>
        <v>199</v>
      </c>
      <c r="I50" s="1240" t="str">
        <f>TEXT('MYP Assumptions'!E57,"0.00%")&amp;", no rate change"</f>
        <v>1.10%, no rate change</v>
      </c>
      <c r="J50" s="66"/>
      <c r="K50" s="1527">
        <f t="shared" si="20"/>
        <v>0</v>
      </c>
      <c r="L50" s="2">
        <f>ROUND((L41+L30)*LEFT(M50,5),0)</f>
        <v>199</v>
      </c>
      <c r="M50" s="1240" t="str">
        <f>TEXT('MYP Assumptions'!F57,"0.00%")&amp;", no rate change"</f>
        <v>1.10%, no rate change</v>
      </c>
      <c r="O50" s="1527">
        <f t="shared" si="21"/>
        <v>0</v>
      </c>
      <c r="P50" s="2">
        <f>ROUND((P41+P30)*LEFT(Q50,5),0)</f>
        <v>199</v>
      </c>
      <c r="Q50" s="1240" t="str">
        <f>TEXT('MYP Assumptions'!G57,"0.00%")&amp;", no rate change"</f>
        <v>1.10%, no rate change</v>
      </c>
      <c r="S50" s="83">
        <f t="shared" si="22"/>
        <v>0</v>
      </c>
      <c r="T50" s="2">
        <f>ROUND((T41+T30)*LEFT(U50,5),0)</f>
        <v>199</v>
      </c>
      <c r="U50" s="81" t="str">
        <f>TEXT('MYP Assumptions'!H57,"0.00%")&amp;", no rate change"</f>
        <v>1.10%, no rate change</v>
      </c>
      <c r="W50" s="83">
        <f t="shared" si="23"/>
        <v>2.0100502512562814E-2</v>
      </c>
      <c r="X50" s="2">
        <f>ROUND((X41+X30)*LEFT(Y50,5),0)</f>
        <v>203</v>
      </c>
      <c r="Y50" s="81" t="str">
        <f>TEXT('MYP Assumptions'!I57,"0.00%")&amp;", no rate change"</f>
        <v>1.10%, no rate change</v>
      </c>
      <c r="AA50" s="83">
        <f t="shared" si="24"/>
        <v>1.9704433497536946E-2</v>
      </c>
      <c r="AB50" s="2">
        <f>ROUND((AB41+AB30)*LEFT(AC50,5),0)</f>
        <v>207</v>
      </c>
      <c r="AC50" s="81" t="str">
        <f>TEXT('MYP Assumptions'!J57,"0.00%")&amp;", no rate change"</f>
        <v>1.10%, no rate change</v>
      </c>
    </row>
    <row r="51" spans="1:29" x14ac:dyDescent="0.25">
      <c r="A51" s="153"/>
      <c r="B51" s="1326" t="s">
        <v>91</v>
      </c>
      <c r="C51" s="1243" t="s">
        <v>93</v>
      </c>
      <c r="D51" s="2">
        <v>0</v>
      </c>
      <c r="E51" s="1249"/>
      <c r="F51" s="2"/>
      <c r="G51" s="1527" t="str">
        <f t="shared" ref="G51" si="25">IF(D51=0,"0.00%",(H51-D51)/D51)</f>
        <v>0.00%</v>
      </c>
      <c r="H51" s="2">
        <f>D51</f>
        <v>0</v>
      </c>
      <c r="I51" s="1240" t="s">
        <v>166</v>
      </c>
      <c r="J51" s="66"/>
      <c r="K51" s="1527" t="str">
        <f t="shared" ref="K51" si="26">IF(H51=0,"0.00%",(L51-H51)/H51)</f>
        <v>0.00%</v>
      </c>
      <c r="L51" s="2">
        <f>H51</f>
        <v>0</v>
      </c>
      <c r="M51" s="1240" t="s">
        <v>166</v>
      </c>
      <c r="O51" s="1527" t="str">
        <f t="shared" ref="O51" si="27">IF(L51=0,"0.00%",(P51-L51)/L51)</f>
        <v>0.00%</v>
      </c>
      <c r="P51" s="2">
        <f>L51</f>
        <v>0</v>
      </c>
      <c r="Q51" s="1240" t="s">
        <v>166</v>
      </c>
      <c r="S51" s="83" t="str">
        <f t="shared" ref="S51" si="28">IF(P51=0,"0.00%",(T51-P51)/P51)</f>
        <v>0.00%</v>
      </c>
      <c r="T51" s="2">
        <f>P51</f>
        <v>0</v>
      </c>
      <c r="U51" s="81" t="s">
        <v>166</v>
      </c>
      <c r="W51" s="83" t="str">
        <f t="shared" ref="W51" si="29">IF(T51=0,"0.00%",(X51-T51)/T51)</f>
        <v>0.00%</v>
      </c>
      <c r="X51" s="2">
        <f>T51</f>
        <v>0</v>
      </c>
      <c r="Y51" s="81" t="s">
        <v>166</v>
      </c>
      <c r="AA51" s="83" t="str">
        <f t="shared" ref="AA51" si="30">IF(X51=0,"0.00%",(AB51-X51)/X51)</f>
        <v>0.00%</v>
      </c>
      <c r="AB51" s="2">
        <f>X51</f>
        <v>0</v>
      </c>
      <c r="AC51" s="81" t="s">
        <v>166</v>
      </c>
    </row>
    <row r="52" spans="1:29" x14ac:dyDescent="0.25">
      <c r="A52" s="153"/>
      <c r="B52" s="1326"/>
      <c r="E52" s="1249"/>
      <c r="F52" s="2"/>
      <c r="G52" s="1527"/>
      <c r="H52" s="2"/>
      <c r="I52" s="1240"/>
      <c r="J52" s="66"/>
      <c r="K52" s="1527"/>
      <c r="L52" s="2"/>
      <c r="M52" s="1240"/>
      <c r="O52" s="1527"/>
      <c r="Q52" s="1240"/>
      <c r="S52" s="83"/>
      <c r="T52" s="2"/>
      <c r="U52" s="81"/>
      <c r="W52" s="83"/>
      <c r="X52" s="2"/>
      <c r="Y52" s="81"/>
      <c r="AA52" s="83"/>
      <c r="AB52" s="2"/>
      <c r="AC52" s="81"/>
    </row>
    <row r="53" spans="1:29" x14ac:dyDescent="0.25">
      <c r="A53" s="154"/>
      <c r="B53" s="1326"/>
      <c r="D53" s="8">
        <f>SUM(D44:D52)</f>
        <v>194</v>
      </c>
      <c r="E53" s="1249"/>
      <c r="F53" s="2"/>
      <c r="G53" s="1527">
        <f t="shared" si="19"/>
        <v>14.891752577319588</v>
      </c>
      <c r="H53" s="8">
        <f>SUM(H44:H52)</f>
        <v>3083</v>
      </c>
      <c r="I53" s="1882">
        <f>+H53-D53</f>
        <v>2889</v>
      </c>
      <c r="J53" s="29"/>
      <c r="K53" s="1527">
        <f t="shared" si="20"/>
        <v>0.1083360363282517</v>
      </c>
      <c r="L53" s="8">
        <f>SUM(L44:L52)</f>
        <v>3417</v>
      </c>
      <c r="M53" s="1882">
        <f>+L53-H53</f>
        <v>334</v>
      </c>
      <c r="O53" s="1527">
        <f t="shared" si="21"/>
        <v>1.6095990635059995E-2</v>
      </c>
      <c r="P53" s="8">
        <f>SUM(P44:P52)</f>
        <v>3472</v>
      </c>
      <c r="Q53" s="1882">
        <f>+P53-L53</f>
        <v>55</v>
      </c>
      <c r="S53" s="83">
        <f t="shared" si="22"/>
        <v>0.1313364055299539</v>
      </c>
      <c r="T53" s="8">
        <f>SUM(T44:T52)</f>
        <v>3928</v>
      </c>
      <c r="U53" s="73"/>
      <c r="W53" s="83">
        <f t="shared" si="23"/>
        <v>2.0112016293279023E-2</v>
      </c>
      <c r="X53" s="8">
        <f>SUM(X44:X52)</f>
        <v>4007</v>
      </c>
      <c r="Y53" s="73"/>
      <c r="AA53" s="83">
        <f t="shared" si="24"/>
        <v>1.9715497878712254E-2</v>
      </c>
      <c r="AB53" s="8">
        <f>SUM(AB44:AB52)</f>
        <v>4086</v>
      </c>
      <c r="AC53" s="73"/>
    </row>
    <row r="54" spans="1:29" x14ac:dyDescent="0.25">
      <c r="A54" s="155"/>
      <c r="B54" s="1326"/>
      <c r="E54" s="1249"/>
      <c r="F54" s="2"/>
      <c r="H54" s="2"/>
      <c r="I54" s="1257"/>
      <c r="J54" s="66"/>
      <c r="L54" s="2"/>
      <c r="M54" s="1335"/>
      <c r="Q54" s="1335"/>
      <c r="T54" s="2"/>
      <c r="U54" s="73"/>
      <c r="X54" s="2"/>
      <c r="Y54" s="73"/>
      <c r="AB54" s="2"/>
      <c r="AC54" s="73"/>
    </row>
    <row r="55" spans="1:29" x14ac:dyDescent="0.25">
      <c r="A55" s="154"/>
      <c r="B55" s="1323" t="s">
        <v>26</v>
      </c>
      <c r="D55" s="8">
        <f>SUM(D53,D41,D30)</f>
        <v>1461</v>
      </c>
      <c r="E55" s="1249"/>
      <c r="F55" s="2"/>
      <c r="G55" s="1527">
        <f>IF(D55=0,"0.00%",(H55-D55)/D55)</f>
        <v>13.501026694045175</v>
      </c>
      <c r="H55" s="8">
        <f>SUM(H53,H41,H30)</f>
        <v>21186</v>
      </c>
      <c r="I55" s="1882">
        <f>+H55-D55</f>
        <v>19725</v>
      </c>
      <c r="J55" s="29"/>
      <c r="K55" s="1527">
        <f>IF(H55=0,"0.00%",(L55-H55)/H55)</f>
        <v>1.5765127914660625E-2</v>
      </c>
      <c r="L55" s="8">
        <f>SUM(L53,L41,L30)</f>
        <v>21520</v>
      </c>
      <c r="M55" s="1882">
        <f>+L55-H55</f>
        <v>334</v>
      </c>
      <c r="O55" s="1527">
        <f>IF(L55=0,"0.00%",(P55-L55)/L55)</f>
        <v>2.5557620817843866E-3</v>
      </c>
      <c r="P55" s="8">
        <f>SUM(P53,P41,P30)</f>
        <v>21575</v>
      </c>
      <c r="Q55" s="1882">
        <f>+P55-L55</f>
        <v>55</v>
      </c>
      <c r="S55" s="83">
        <f>IF(P55=0,"0.00%",(T55-P55)/P55)</f>
        <v>2.1135573580533026E-2</v>
      </c>
      <c r="T55" s="8">
        <f>SUM(T53,T41,T30)</f>
        <v>22031</v>
      </c>
      <c r="U55" s="73"/>
      <c r="W55" s="83">
        <f>IF(T55=0,"0.00%",(X55-T55)/T55)</f>
        <v>2.0017248422677138E-2</v>
      </c>
      <c r="X55" s="8">
        <f>SUM(X53,X41,X30)</f>
        <v>22472</v>
      </c>
      <c r="Y55" s="73"/>
      <c r="AA55" s="83">
        <f>IF(X55=0,"0.00%",(AB55-X55)/X55)</f>
        <v>1.9935920256318976E-2</v>
      </c>
      <c r="AB55" s="8">
        <f>SUM(AB53,AB41,AB30)</f>
        <v>22920</v>
      </c>
      <c r="AC55" s="73"/>
    </row>
    <row r="56" spans="1:29" x14ac:dyDescent="0.25">
      <c r="A56" s="156"/>
      <c r="E56" s="1249"/>
      <c r="F56" s="2"/>
      <c r="H56" s="2"/>
      <c r="I56" s="1257"/>
      <c r="J56" s="66"/>
      <c r="L56" s="2"/>
      <c r="M56" s="1335"/>
      <c r="Q56" s="1335"/>
      <c r="T56" s="2"/>
      <c r="U56" s="73"/>
      <c r="X56" s="2"/>
      <c r="Y56" s="73"/>
      <c r="AB56" s="2"/>
      <c r="AC56" s="73"/>
    </row>
    <row r="57" spans="1:29" hidden="1" x14ac:dyDescent="0.25">
      <c r="A57" s="153"/>
      <c r="E57" s="1249"/>
      <c r="F57" s="2"/>
      <c r="H57" s="2"/>
      <c r="I57" s="1257"/>
      <c r="J57" s="66"/>
      <c r="L57" s="2"/>
      <c r="M57" s="1335"/>
      <c r="Q57" s="1335"/>
      <c r="T57" s="2"/>
      <c r="U57" s="73"/>
      <c r="X57" s="2"/>
      <c r="Y57" s="73"/>
      <c r="AB57" s="2"/>
      <c r="AC57" s="73"/>
    </row>
    <row r="58" spans="1:29" hidden="1" x14ac:dyDescent="0.25">
      <c r="A58" s="156"/>
      <c r="B58" s="1327" t="s">
        <v>25</v>
      </c>
      <c r="C58" s="1259"/>
      <c r="E58" s="1249"/>
      <c r="F58" s="2"/>
      <c r="H58" s="2"/>
      <c r="I58" s="1257"/>
      <c r="J58" s="66"/>
      <c r="L58" s="2"/>
      <c r="M58" s="1335"/>
      <c r="Q58" s="1335"/>
      <c r="T58" s="2"/>
      <c r="U58" s="73"/>
      <c r="X58" s="2"/>
      <c r="Y58" s="73"/>
      <c r="AB58" s="2"/>
      <c r="AC58" s="73"/>
    </row>
    <row r="59" spans="1:29" hidden="1" x14ac:dyDescent="0.25">
      <c r="A59" s="153"/>
      <c r="B59" s="1326"/>
      <c r="D59" s="2">
        <v>0</v>
      </c>
      <c r="E59" s="1249"/>
      <c r="F59" s="2"/>
      <c r="G59" s="1527" t="str">
        <f t="shared" ref="G59:G66" si="31">IF(D59=0,"0.00%",(H59-D59)/D59)</f>
        <v>0.00%</v>
      </c>
      <c r="H59" s="2">
        <f t="shared" ref="H59:H65" si="32">ROUND(D59*(LEFT(I59,5)+1),0)</f>
        <v>0</v>
      </c>
      <c r="I59" s="1240" t="str">
        <f>TEXT('MYP Assumptions'!E72,"0.00%")&amp;", CPI"</f>
        <v>3.11%, CPI</v>
      </c>
      <c r="J59" s="66"/>
      <c r="K59" s="1527" t="str">
        <f t="shared" ref="K59:K66" si="33">IF(H59=0,"0.00%",(L59-H59)/H59)</f>
        <v>0.00%</v>
      </c>
      <c r="L59" s="2">
        <f>ROUND(H59*(LEFT(M59,5)+1),0)</f>
        <v>0</v>
      </c>
      <c r="M59" s="1240" t="str">
        <f>TEXT('MYP Assumptions'!F72,"0.00%")&amp;", CPI"</f>
        <v>3.19%, CPI</v>
      </c>
      <c r="O59" s="1527" t="str">
        <f t="shared" ref="O59:O66" si="34">IF(L59=0,"0.00%",(P59-L59)/L59)</f>
        <v>0.00%</v>
      </c>
      <c r="P59" s="2">
        <f>ROUND(L59*(LEFT(Q59,5)+1),0)</f>
        <v>0</v>
      </c>
      <c r="Q59" s="1240" t="str">
        <f>TEXT('MYP Assumptions'!G72,"0.00%")&amp;", CPI"</f>
        <v>2.86%, CPI</v>
      </c>
      <c r="S59" s="83" t="str">
        <f t="shared" ref="S59:S66" si="35">IF(P59=0,"0.00%",(T59-P59)/P59)</f>
        <v>0.00%</v>
      </c>
      <c r="T59" s="2">
        <f>ROUND(P59*(LEFT(U59,5)+1),0)</f>
        <v>0</v>
      </c>
      <c r="U59" s="81" t="str">
        <f>TEXT('MYP Assumptions'!H72,"0.00%")&amp;", CPI"</f>
        <v>2.73%, CPI</v>
      </c>
      <c r="W59" s="83" t="str">
        <f t="shared" ref="W59:W66" si="36">IF(T59=0,"0.00%",(X59-T59)/T59)</f>
        <v>0.00%</v>
      </c>
      <c r="X59" s="2">
        <f>ROUND(T59*(LEFT(Y59,5)+1),0)</f>
        <v>0</v>
      </c>
      <c r="Y59" s="81" t="str">
        <f>TEXT('MYP Assumptions'!I72,"0.00%")&amp;", CPI"</f>
        <v>2.73%, CPI</v>
      </c>
      <c r="AA59" s="83" t="str">
        <f t="shared" ref="AA59:AA66" si="37">IF(X59=0,"0.00%",(AB59-X59)/X59)</f>
        <v>0.00%</v>
      </c>
      <c r="AB59" s="2">
        <f>ROUND(X59*(LEFT(AC59,5)+1),0)</f>
        <v>0</v>
      </c>
      <c r="AC59" s="81" t="str">
        <f>TEXT('MYP Assumptions'!J72,"0.00%")&amp;", CPI"</f>
        <v>2.73%, CPI</v>
      </c>
    </row>
    <row r="60" spans="1:29" hidden="1" x14ac:dyDescent="0.25">
      <c r="A60" s="153"/>
      <c r="B60" s="1326"/>
      <c r="D60" s="2">
        <v>0</v>
      </c>
      <c r="E60" s="1249"/>
      <c r="F60" s="2"/>
      <c r="G60" s="1527" t="str">
        <f t="shared" si="31"/>
        <v>0.00%</v>
      </c>
      <c r="H60" s="2">
        <f t="shared" si="32"/>
        <v>0</v>
      </c>
      <c r="I60" s="1240" t="str">
        <f>TEXT('MYP Assumptions'!E72,"0.00%")&amp;", CPI"</f>
        <v>3.11%, CPI</v>
      </c>
      <c r="J60" s="66"/>
      <c r="K60" s="1527" t="str">
        <f t="shared" si="33"/>
        <v>0.00%</v>
      </c>
      <c r="L60" s="2">
        <f t="shared" ref="L60:L65" si="38">ROUND(H60*(LEFT(M60,5)+1),0)</f>
        <v>0</v>
      </c>
      <c r="M60" s="1240" t="str">
        <f>TEXT('MYP Assumptions'!F72,"0.00%")&amp;", CPI"</f>
        <v>3.19%, CPI</v>
      </c>
      <c r="O60" s="1527" t="str">
        <f t="shared" si="34"/>
        <v>0.00%</v>
      </c>
      <c r="P60" s="2">
        <f t="shared" ref="P60:P65" si="39">ROUND(L60*(LEFT(Q60,5)+1),0)</f>
        <v>0</v>
      </c>
      <c r="Q60" s="1240" t="str">
        <f>TEXT('MYP Assumptions'!G72,"0.00%")&amp;", CPI"</f>
        <v>2.86%, CPI</v>
      </c>
      <c r="S60" s="83" t="str">
        <f t="shared" si="35"/>
        <v>0.00%</v>
      </c>
      <c r="T60" s="2">
        <f t="shared" ref="T60:T65" si="40">ROUND(P60*(LEFT(U60,5)+1),0)</f>
        <v>0</v>
      </c>
      <c r="U60" s="81" t="str">
        <f>TEXT('MYP Assumptions'!H72,"0.00%")&amp;", CPI"</f>
        <v>2.73%, CPI</v>
      </c>
      <c r="W60" s="83" t="str">
        <f t="shared" si="36"/>
        <v>0.00%</v>
      </c>
      <c r="X60" s="2">
        <f t="shared" ref="X60:X65" si="41">ROUND(T60*(LEFT(Y60,5)+1),0)</f>
        <v>0</v>
      </c>
      <c r="Y60" s="81" t="str">
        <f>TEXT('MYP Assumptions'!I72,"0.00%")&amp;", CPI"</f>
        <v>2.73%, CPI</v>
      </c>
      <c r="AA60" s="83" t="str">
        <f t="shared" si="37"/>
        <v>0.00%</v>
      </c>
      <c r="AB60" s="2">
        <f t="shared" ref="AB60:AB65" si="42">ROUND(X60*(LEFT(AC60,5)+1),0)</f>
        <v>0</v>
      </c>
      <c r="AC60" s="81" t="str">
        <f>TEXT('MYP Assumptions'!J72,"0.00%")&amp;", CPI"</f>
        <v>2.73%, CPI</v>
      </c>
    </row>
    <row r="61" spans="1:29" hidden="1" x14ac:dyDescent="0.25">
      <c r="A61" s="153"/>
      <c r="B61" s="1326"/>
      <c r="D61" s="2">
        <v>0</v>
      </c>
      <c r="E61" s="1249"/>
      <c r="F61" s="2"/>
      <c r="G61" s="1527" t="str">
        <f t="shared" si="31"/>
        <v>0.00%</v>
      </c>
      <c r="H61" s="2">
        <f t="shared" si="32"/>
        <v>0</v>
      </c>
      <c r="I61" s="1240" t="str">
        <f>TEXT('MYP Assumptions'!E72,"0.00%")&amp;", CPI"</f>
        <v>3.11%, CPI</v>
      </c>
      <c r="J61" s="66"/>
      <c r="K61" s="1527" t="str">
        <f t="shared" si="33"/>
        <v>0.00%</v>
      </c>
      <c r="L61" s="2">
        <f t="shared" si="38"/>
        <v>0</v>
      </c>
      <c r="M61" s="1240" t="str">
        <f>TEXT('MYP Assumptions'!F72,"0.00%")&amp;", CPI"</f>
        <v>3.19%, CPI</v>
      </c>
      <c r="O61" s="1527" t="str">
        <f t="shared" si="34"/>
        <v>0.00%</v>
      </c>
      <c r="P61" s="2">
        <f t="shared" si="39"/>
        <v>0</v>
      </c>
      <c r="Q61" s="1240" t="str">
        <f>TEXT('MYP Assumptions'!G72,"0.00%")&amp;", CPI"</f>
        <v>2.86%, CPI</v>
      </c>
      <c r="S61" s="83" t="str">
        <f t="shared" si="35"/>
        <v>0.00%</v>
      </c>
      <c r="T61" s="2">
        <f t="shared" si="40"/>
        <v>0</v>
      </c>
      <c r="U61" s="81" t="str">
        <f>TEXT('MYP Assumptions'!H72,"0.00%")&amp;", CPI"</f>
        <v>2.73%, CPI</v>
      </c>
      <c r="W61" s="83" t="str">
        <f t="shared" si="36"/>
        <v>0.00%</v>
      </c>
      <c r="X61" s="2">
        <f t="shared" si="41"/>
        <v>0</v>
      </c>
      <c r="Y61" s="81" t="str">
        <f>TEXT('MYP Assumptions'!I72,"0.00%")&amp;", CPI"</f>
        <v>2.73%, CPI</v>
      </c>
      <c r="AA61" s="83" t="str">
        <f t="shared" si="37"/>
        <v>0.00%</v>
      </c>
      <c r="AB61" s="2">
        <f t="shared" si="42"/>
        <v>0</v>
      </c>
      <c r="AC61" s="81" t="str">
        <f>TEXT('MYP Assumptions'!J72,"0.00%")&amp;", CPI"</f>
        <v>2.73%, CPI</v>
      </c>
    </row>
    <row r="62" spans="1:29" hidden="1" x14ac:dyDescent="0.25">
      <c r="A62" s="153"/>
      <c r="B62" s="1326"/>
      <c r="D62" s="2">
        <v>0</v>
      </c>
      <c r="E62" s="1249"/>
      <c r="F62" s="2"/>
      <c r="G62" s="1527" t="str">
        <f t="shared" si="31"/>
        <v>0.00%</v>
      </c>
      <c r="H62" s="2">
        <f t="shared" si="32"/>
        <v>0</v>
      </c>
      <c r="I62" s="1240" t="str">
        <f>TEXT('MYP Assumptions'!E72,"0.00%")&amp;", CPI"</f>
        <v>3.11%, CPI</v>
      </c>
      <c r="J62" s="66"/>
      <c r="K62" s="1527" t="str">
        <f t="shared" si="33"/>
        <v>0.00%</v>
      </c>
      <c r="L62" s="2">
        <f t="shared" si="38"/>
        <v>0</v>
      </c>
      <c r="M62" s="1240" t="str">
        <f>TEXT('MYP Assumptions'!F72,"0.00%")&amp;", CPI"</f>
        <v>3.19%, CPI</v>
      </c>
      <c r="O62" s="1527" t="str">
        <f t="shared" si="34"/>
        <v>0.00%</v>
      </c>
      <c r="P62" s="2">
        <f t="shared" si="39"/>
        <v>0</v>
      </c>
      <c r="Q62" s="1240" t="str">
        <f>TEXT('MYP Assumptions'!G72,"0.00%")&amp;", CPI"</f>
        <v>2.86%, CPI</v>
      </c>
      <c r="S62" s="83" t="str">
        <f t="shared" si="35"/>
        <v>0.00%</v>
      </c>
      <c r="T62" s="2">
        <f t="shared" si="40"/>
        <v>0</v>
      </c>
      <c r="U62" s="81" t="str">
        <f>TEXT('MYP Assumptions'!H72,"0.00%")&amp;", CPI"</f>
        <v>2.73%, CPI</v>
      </c>
      <c r="W62" s="83" t="str">
        <f t="shared" si="36"/>
        <v>0.00%</v>
      </c>
      <c r="X62" s="2">
        <f t="shared" si="41"/>
        <v>0</v>
      </c>
      <c r="Y62" s="81" t="str">
        <f>TEXT('MYP Assumptions'!I72,"0.00%")&amp;", CPI"</f>
        <v>2.73%, CPI</v>
      </c>
      <c r="AA62" s="83" t="str">
        <f t="shared" si="37"/>
        <v>0.00%</v>
      </c>
      <c r="AB62" s="2">
        <f t="shared" si="42"/>
        <v>0</v>
      </c>
      <c r="AC62" s="81" t="str">
        <f>TEXT('MYP Assumptions'!J72,"0.00%")&amp;", CPI"</f>
        <v>2.73%, CPI</v>
      </c>
    </row>
    <row r="63" spans="1:29" hidden="1" x14ac:dyDescent="0.25">
      <c r="A63" s="153"/>
      <c r="B63" s="1326"/>
      <c r="D63" s="2">
        <v>0</v>
      </c>
      <c r="E63" s="1249"/>
      <c r="F63" s="2"/>
      <c r="G63" s="1527" t="str">
        <f t="shared" si="31"/>
        <v>0.00%</v>
      </c>
      <c r="H63" s="2">
        <f t="shared" si="32"/>
        <v>0</v>
      </c>
      <c r="I63" s="1240" t="str">
        <f>TEXT('MYP Assumptions'!E72,"0.00%")&amp;", CPI"</f>
        <v>3.11%, CPI</v>
      </c>
      <c r="J63" s="66"/>
      <c r="K63" s="1527" t="str">
        <f t="shared" si="33"/>
        <v>0.00%</v>
      </c>
      <c r="L63" s="2">
        <f t="shared" si="38"/>
        <v>0</v>
      </c>
      <c r="M63" s="1240" t="str">
        <f>TEXT('MYP Assumptions'!F72,"0.00%")&amp;", CPI"</f>
        <v>3.19%, CPI</v>
      </c>
      <c r="O63" s="1527" t="str">
        <f t="shared" si="34"/>
        <v>0.00%</v>
      </c>
      <c r="P63" s="2">
        <f t="shared" si="39"/>
        <v>0</v>
      </c>
      <c r="Q63" s="1240" t="str">
        <f>TEXT('MYP Assumptions'!G72,"0.00%")&amp;", CPI"</f>
        <v>2.86%, CPI</v>
      </c>
      <c r="S63" s="83" t="str">
        <f t="shared" si="35"/>
        <v>0.00%</v>
      </c>
      <c r="T63" s="2">
        <f t="shared" si="40"/>
        <v>0</v>
      </c>
      <c r="U63" s="81" t="str">
        <f>TEXT('MYP Assumptions'!H72,"0.00%")&amp;", CPI"</f>
        <v>2.73%, CPI</v>
      </c>
      <c r="W63" s="83" t="str">
        <f t="shared" si="36"/>
        <v>0.00%</v>
      </c>
      <c r="X63" s="2">
        <f t="shared" si="41"/>
        <v>0</v>
      </c>
      <c r="Y63" s="81" t="str">
        <f>TEXT('MYP Assumptions'!I72,"0.00%")&amp;", CPI"</f>
        <v>2.73%, CPI</v>
      </c>
      <c r="AA63" s="83" t="str">
        <f t="shared" si="37"/>
        <v>0.00%</v>
      </c>
      <c r="AB63" s="2">
        <f t="shared" si="42"/>
        <v>0</v>
      </c>
      <c r="AC63" s="81" t="str">
        <f>TEXT('MYP Assumptions'!J72,"0.00%")&amp;", CPI"</f>
        <v>2.73%, CPI</v>
      </c>
    </row>
    <row r="64" spans="1:29" hidden="1" x14ac:dyDescent="0.25">
      <c r="A64" s="153"/>
      <c r="B64" s="1326"/>
      <c r="D64" s="2">
        <v>0</v>
      </c>
      <c r="E64" s="1249"/>
      <c r="F64" s="2"/>
      <c r="G64" s="1527" t="str">
        <f t="shared" si="31"/>
        <v>0.00%</v>
      </c>
      <c r="H64" s="2">
        <f t="shared" si="32"/>
        <v>0</v>
      </c>
      <c r="I64" s="1240" t="str">
        <f>TEXT('MYP Assumptions'!E72,"0.00%")&amp;", CPI"</f>
        <v>3.11%, CPI</v>
      </c>
      <c r="J64" s="66"/>
      <c r="K64" s="1527" t="str">
        <f t="shared" si="33"/>
        <v>0.00%</v>
      </c>
      <c r="L64" s="2">
        <f t="shared" si="38"/>
        <v>0</v>
      </c>
      <c r="M64" s="1240" t="str">
        <f>TEXT('MYP Assumptions'!F72,"0.00%")&amp;", CPI"</f>
        <v>3.19%, CPI</v>
      </c>
      <c r="O64" s="1527" t="str">
        <f t="shared" si="34"/>
        <v>0.00%</v>
      </c>
      <c r="P64" s="2">
        <f t="shared" si="39"/>
        <v>0</v>
      </c>
      <c r="Q64" s="1240" t="str">
        <f>TEXT('MYP Assumptions'!G72,"0.00%")&amp;", CPI"</f>
        <v>2.86%, CPI</v>
      </c>
      <c r="S64" s="83" t="str">
        <f t="shared" si="35"/>
        <v>0.00%</v>
      </c>
      <c r="T64" s="2">
        <f t="shared" si="40"/>
        <v>0</v>
      </c>
      <c r="U64" s="81" t="str">
        <f>TEXT('MYP Assumptions'!H72,"0.00%")&amp;", CPI"</f>
        <v>2.73%, CPI</v>
      </c>
      <c r="W64" s="83" t="str">
        <f t="shared" si="36"/>
        <v>0.00%</v>
      </c>
      <c r="X64" s="2">
        <f t="shared" si="41"/>
        <v>0</v>
      </c>
      <c r="Y64" s="81" t="str">
        <f>TEXT('MYP Assumptions'!I72,"0.00%")&amp;", CPI"</f>
        <v>2.73%, CPI</v>
      </c>
      <c r="AA64" s="83" t="str">
        <f t="shared" si="37"/>
        <v>0.00%</v>
      </c>
      <c r="AB64" s="2">
        <f t="shared" si="42"/>
        <v>0</v>
      </c>
      <c r="AC64" s="81" t="str">
        <f>TEXT('MYP Assumptions'!J72,"0.00%")&amp;", CPI"</f>
        <v>2.73%, CPI</v>
      </c>
    </row>
    <row r="65" spans="1:29" hidden="1" x14ac:dyDescent="0.25">
      <c r="A65" s="153"/>
      <c r="B65" s="1326"/>
      <c r="C65" s="1328"/>
      <c r="D65" s="2">
        <v>0</v>
      </c>
      <c r="E65" s="1249"/>
      <c r="F65" s="2"/>
      <c r="G65" s="1527" t="str">
        <f t="shared" si="31"/>
        <v>0.00%</v>
      </c>
      <c r="H65" s="2">
        <f t="shared" si="32"/>
        <v>0</v>
      </c>
      <c r="I65" s="1240" t="str">
        <f>TEXT('MYP Assumptions'!E72,"0.00%")&amp;", CPI"</f>
        <v>3.11%, CPI</v>
      </c>
      <c r="J65" s="66"/>
      <c r="K65" s="1527" t="str">
        <f t="shared" si="33"/>
        <v>0.00%</v>
      </c>
      <c r="L65" s="2">
        <f t="shared" si="38"/>
        <v>0</v>
      </c>
      <c r="M65" s="1240" t="str">
        <f>TEXT('MYP Assumptions'!F72,"0.00%")&amp;", CPI"</f>
        <v>3.19%, CPI</v>
      </c>
      <c r="O65" s="1527" t="str">
        <f t="shared" si="34"/>
        <v>0.00%</v>
      </c>
      <c r="P65" s="2">
        <f t="shared" si="39"/>
        <v>0</v>
      </c>
      <c r="Q65" s="1240" t="str">
        <f>TEXT('MYP Assumptions'!G72,"0.00%")&amp;", CPI"</f>
        <v>2.86%, CPI</v>
      </c>
      <c r="S65" s="83" t="str">
        <f t="shared" si="35"/>
        <v>0.00%</v>
      </c>
      <c r="T65" s="2">
        <f t="shared" si="40"/>
        <v>0</v>
      </c>
      <c r="U65" s="81" t="str">
        <f>TEXT('MYP Assumptions'!H72,"0.00%")&amp;", CPI"</f>
        <v>2.73%, CPI</v>
      </c>
      <c r="W65" s="83" t="str">
        <f t="shared" si="36"/>
        <v>0.00%</v>
      </c>
      <c r="X65" s="2">
        <f t="shared" si="41"/>
        <v>0</v>
      </c>
      <c r="Y65" s="81" t="str">
        <f>TEXT('MYP Assumptions'!I72,"0.00%")&amp;", CPI"</f>
        <v>2.73%, CPI</v>
      </c>
      <c r="AA65" s="83" t="str">
        <f t="shared" si="37"/>
        <v>0.00%</v>
      </c>
      <c r="AB65" s="2">
        <f t="shared" si="42"/>
        <v>0</v>
      </c>
      <c r="AC65" s="81" t="str">
        <f>TEXT('MYP Assumptions'!J72,"0.00%")&amp;", CPI"</f>
        <v>2.73%, CPI</v>
      </c>
    </row>
    <row r="66" spans="1:29" hidden="1" x14ac:dyDescent="0.25">
      <c r="A66" s="154"/>
      <c r="B66" s="1243"/>
      <c r="D66" s="8">
        <f>SUM(D59:D65)</f>
        <v>0</v>
      </c>
      <c r="E66" s="1249"/>
      <c r="F66" s="2"/>
      <c r="G66" s="1527" t="str">
        <f t="shared" si="31"/>
        <v>0.00%</v>
      </c>
      <c r="H66" s="8">
        <f>SUM(H59:H65)</f>
        <v>0</v>
      </c>
      <c r="I66" s="1258"/>
      <c r="J66" s="29"/>
      <c r="K66" s="1527" t="str">
        <f t="shared" si="33"/>
        <v>0.00%</v>
      </c>
      <c r="L66" s="8">
        <f>SUM(L59:L65)</f>
        <v>0</v>
      </c>
      <c r="M66" s="1335"/>
      <c r="O66" s="1527" t="str">
        <f t="shared" si="34"/>
        <v>0.00%</v>
      </c>
      <c r="P66" s="8">
        <f>SUM(P59:P65)</f>
        <v>0</v>
      </c>
      <c r="Q66" s="1335"/>
      <c r="S66" s="83" t="str">
        <f t="shared" si="35"/>
        <v>0.00%</v>
      </c>
      <c r="T66" s="8">
        <f>SUM(T59:T65)</f>
        <v>0</v>
      </c>
      <c r="U66" s="73"/>
      <c r="W66" s="83" t="str">
        <f t="shared" si="36"/>
        <v>0.00%</v>
      </c>
      <c r="X66" s="8">
        <f>SUM(X59:X65)</f>
        <v>0</v>
      </c>
      <c r="Y66" s="73"/>
      <c r="AA66" s="83" t="str">
        <f t="shared" si="37"/>
        <v>0.00%</v>
      </c>
      <c r="AB66" s="8">
        <f>SUM(AB59:AB65)</f>
        <v>0</v>
      </c>
      <c r="AC66" s="73"/>
    </row>
    <row r="67" spans="1:29" hidden="1" x14ac:dyDescent="0.25">
      <c r="A67" s="153"/>
      <c r="E67" s="1249"/>
      <c r="F67" s="2"/>
      <c r="H67" s="2"/>
      <c r="I67" s="1257"/>
      <c r="J67" s="66"/>
      <c r="L67" s="2"/>
      <c r="M67" s="1335"/>
      <c r="Q67" s="1335"/>
      <c r="T67" s="2"/>
      <c r="U67" s="73"/>
      <c r="X67" s="2"/>
      <c r="Y67" s="73"/>
      <c r="AB67" s="2"/>
      <c r="AC67" s="73"/>
    </row>
    <row r="68" spans="1:29" s="4" customFormat="1" hidden="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hidden="1" x14ac:dyDescent="0.25">
      <c r="A69" s="153"/>
      <c r="B69" s="1326"/>
      <c r="D69" s="2">
        <v>0</v>
      </c>
      <c r="E69" s="1249"/>
      <c r="F69" s="2"/>
      <c r="G69" s="1527" t="str">
        <f t="shared" ref="G69:G74" si="43">IF(D69=0,"0.00%",(H69-D69)/D69)</f>
        <v>0.00%</v>
      </c>
      <c r="H69" s="2">
        <f>ROUND(D69*(LEFT(I69,5)+1),0)</f>
        <v>0</v>
      </c>
      <c r="I69" s="1240" t="str">
        <f>TEXT('MYP Assumptions'!E72,"0.00%")&amp;", CPI"</f>
        <v>3.11%, CPI</v>
      </c>
      <c r="J69" s="66"/>
      <c r="K69" s="1527" t="str">
        <f t="shared" ref="K69:K82" si="44">IF(H69=0,"0.00%",(L69-H69)/H69)</f>
        <v>0.00%</v>
      </c>
      <c r="L69" s="2">
        <f>ROUND(H69*(LEFT(M69,5)+1),0)</f>
        <v>0</v>
      </c>
      <c r="M69" s="1240" t="str">
        <f>TEXT('MYP Assumptions'!F72,"0.00%")&amp;", CPI"</f>
        <v>3.19%, CPI</v>
      </c>
      <c r="O69" s="1527" t="str">
        <f t="shared" ref="O69:O82" si="45">IF(L69=0,"0.00%",(P69-L69)/L69)</f>
        <v>0.00%</v>
      </c>
      <c r="P69" s="2">
        <f>ROUND(L69*(LEFT(Q69,5)+1),0)</f>
        <v>0</v>
      </c>
      <c r="Q69" s="1240" t="str">
        <f>TEXT('MYP Assumptions'!G72,"0.00%")&amp;", CPI"</f>
        <v>2.86%, CPI</v>
      </c>
      <c r="S69" s="83" t="str">
        <f t="shared" ref="S69:S82" si="46">IF(P69=0,"0.00%",(T69-P69)/P69)</f>
        <v>0.00%</v>
      </c>
      <c r="T69" s="2">
        <f>ROUND(P69*(LEFT(U69,5)+1),0)</f>
        <v>0</v>
      </c>
      <c r="U69" s="81" t="str">
        <f>TEXT('MYP Assumptions'!H72,"0.00%")&amp;", CPI"</f>
        <v>2.73%, CPI</v>
      </c>
      <c r="W69" s="83" t="str">
        <f t="shared" ref="W69:W82" si="47">IF(T69=0,"0.00%",(X69-T69)/T69)</f>
        <v>0.00%</v>
      </c>
      <c r="X69" s="2">
        <f>ROUND(T69*(LEFT(Y69,5)+1),0)</f>
        <v>0</v>
      </c>
      <c r="Y69" s="81" t="str">
        <f>TEXT('MYP Assumptions'!I72,"0.00%")&amp;", CPI"</f>
        <v>2.73%, CPI</v>
      </c>
      <c r="AA69" s="83" t="str">
        <f t="shared" ref="AA69:AA82" si="48">IF(X69=0,"0.00%",(AB69-X69)/X69)</f>
        <v>0.00%</v>
      </c>
      <c r="AB69" s="2">
        <f>ROUND(X69*(LEFT(AC69,5)+1),0)</f>
        <v>0</v>
      </c>
      <c r="AC69" s="81" t="str">
        <f>TEXT('MYP Assumptions'!J72,"0.00%")&amp;", CPI"</f>
        <v>2.73%, CPI</v>
      </c>
    </row>
    <row r="70" spans="1:29" hidden="1" x14ac:dyDescent="0.25">
      <c r="A70" s="153"/>
      <c r="B70" s="1326"/>
      <c r="D70" s="2">
        <v>0</v>
      </c>
      <c r="E70" s="1249"/>
      <c r="F70" s="2"/>
      <c r="G70" s="1527" t="str">
        <f t="shared" si="43"/>
        <v>0.00%</v>
      </c>
      <c r="H70" s="2">
        <f>ROUND(D70*(LEFT(I70,5)+1),0)</f>
        <v>0</v>
      </c>
      <c r="I70" s="1240" t="str">
        <f>TEXT('MYP Assumptions'!E72,"0.00%")&amp;", CPI"</f>
        <v>3.11%, CPI</v>
      </c>
      <c r="J70" s="66"/>
      <c r="K70" s="1527" t="str">
        <f t="shared" si="44"/>
        <v>0.00%</v>
      </c>
      <c r="L70" s="2">
        <f t="shared" ref="L70:L81" si="49">ROUND(H70*(LEFT(M70,5)+1),0)</f>
        <v>0</v>
      </c>
      <c r="M70" s="1240" t="str">
        <f>TEXT('MYP Assumptions'!F72,"0.00%")&amp;", CPI"</f>
        <v>3.19%, CPI</v>
      </c>
      <c r="O70" s="1527" t="str">
        <f t="shared" si="45"/>
        <v>0.00%</v>
      </c>
      <c r="P70" s="2">
        <f t="shared" ref="P70:P81" si="50">ROUND(L70*(LEFT(Q70,5)+1),0)</f>
        <v>0</v>
      </c>
      <c r="Q70" s="1240" t="str">
        <f>TEXT('MYP Assumptions'!G72,"0.00%")&amp;", CPI"</f>
        <v>2.86%, CPI</v>
      </c>
      <c r="S70" s="83" t="str">
        <f t="shared" si="46"/>
        <v>0.00%</v>
      </c>
      <c r="T70" s="2">
        <f t="shared" ref="T70:T81" si="51">ROUND(P70*(LEFT(U70,5)+1),0)</f>
        <v>0</v>
      </c>
      <c r="U70" s="81" t="str">
        <f>TEXT('MYP Assumptions'!H72,"0.00%")&amp;", CPI"</f>
        <v>2.73%, CPI</v>
      </c>
      <c r="W70" s="83" t="str">
        <f t="shared" si="47"/>
        <v>0.00%</v>
      </c>
      <c r="X70" s="2">
        <f t="shared" ref="X70:X81" si="52">ROUND(T70*(LEFT(Y70,5)+1),0)</f>
        <v>0</v>
      </c>
      <c r="Y70" s="81" t="str">
        <f>TEXT('MYP Assumptions'!I72,"0.00%")&amp;", CPI"</f>
        <v>2.73%, CPI</v>
      </c>
      <c r="AA70" s="83" t="str">
        <f t="shared" si="48"/>
        <v>0.00%</v>
      </c>
      <c r="AB70" s="2">
        <f t="shared" ref="AB70:AB81" si="53">ROUND(X70*(LEFT(AC70,5)+1),0)</f>
        <v>0</v>
      </c>
      <c r="AC70" s="81" t="str">
        <f>TEXT('MYP Assumptions'!J72,"0.00%")&amp;", CPI"</f>
        <v>2.73%, CPI</v>
      </c>
    </row>
    <row r="71" spans="1:29" hidden="1" x14ac:dyDescent="0.25">
      <c r="A71" s="153"/>
      <c r="B71" s="1326"/>
      <c r="D71" s="2">
        <v>0</v>
      </c>
      <c r="E71" s="1249"/>
      <c r="F71" s="2"/>
      <c r="G71" s="1527" t="str">
        <f t="shared" si="43"/>
        <v>0.00%</v>
      </c>
      <c r="H71" s="2">
        <f t="shared" ref="H71:H76" si="54">ROUND(D71*(LEFT(I71,5)+1),0)</f>
        <v>0</v>
      </c>
      <c r="I71" s="1240" t="str">
        <f>TEXT('MYP Assumptions'!E72,"0.00%")&amp;", CPI"</f>
        <v>3.11%, CPI</v>
      </c>
      <c r="J71" s="66"/>
      <c r="K71" s="1527" t="str">
        <f t="shared" si="44"/>
        <v>0.00%</v>
      </c>
      <c r="L71" s="2">
        <f t="shared" si="49"/>
        <v>0</v>
      </c>
      <c r="M71" s="1240" t="str">
        <f>TEXT('MYP Assumptions'!F72,"0.00%")&amp;", CPI"</f>
        <v>3.19%, CPI</v>
      </c>
      <c r="O71" s="1527" t="str">
        <f t="shared" si="45"/>
        <v>0.00%</v>
      </c>
      <c r="P71" s="2">
        <f t="shared" si="50"/>
        <v>0</v>
      </c>
      <c r="Q71" s="1240" t="str">
        <f>TEXT('MYP Assumptions'!G72,"0.00%")&amp;", CPI"</f>
        <v>2.86%, CPI</v>
      </c>
      <c r="S71" s="83" t="str">
        <f t="shared" si="46"/>
        <v>0.00%</v>
      </c>
      <c r="T71" s="2">
        <f t="shared" si="51"/>
        <v>0</v>
      </c>
      <c r="U71" s="81" t="str">
        <f>TEXT('MYP Assumptions'!H72,"0.00%")&amp;", CPI"</f>
        <v>2.73%, CPI</v>
      </c>
      <c r="W71" s="83" t="str">
        <f t="shared" si="47"/>
        <v>0.00%</v>
      </c>
      <c r="X71" s="2">
        <f t="shared" si="52"/>
        <v>0</v>
      </c>
      <c r="Y71" s="81" t="str">
        <f>TEXT('MYP Assumptions'!I72,"0.00%")&amp;", CPI"</f>
        <v>2.73%, CPI</v>
      </c>
      <c r="AA71" s="83" t="str">
        <f t="shared" si="48"/>
        <v>0.00%</v>
      </c>
      <c r="AB71" s="2">
        <f t="shared" si="53"/>
        <v>0</v>
      </c>
      <c r="AC71" s="81" t="str">
        <f>TEXT('MYP Assumptions'!J72,"0.00%")&amp;", CPI"</f>
        <v>2.73%, CPI</v>
      </c>
    </row>
    <row r="72" spans="1:29" hidden="1" x14ac:dyDescent="0.25">
      <c r="A72" s="153"/>
      <c r="B72" s="1326"/>
      <c r="D72" s="2">
        <v>0</v>
      </c>
      <c r="E72" s="1249"/>
      <c r="F72" s="2"/>
      <c r="G72" s="1527" t="str">
        <f t="shared" si="43"/>
        <v>0.00%</v>
      </c>
      <c r="H72" s="2">
        <f t="shared" si="54"/>
        <v>0</v>
      </c>
      <c r="I72" s="1240" t="str">
        <f>TEXT('MYP Assumptions'!E72,"0.00%")&amp;", CPI"</f>
        <v>3.11%, CPI</v>
      </c>
      <c r="J72" s="66"/>
      <c r="K72" s="1527" t="str">
        <f t="shared" si="44"/>
        <v>0.00%</v>
      </c>
      <c r="L72" s="2">
        <f t="shared" si="49"/>
        <v>0</v>
      </c>
      <c r="M72" s="1240" t="str">
        <f>TEXT('MYP Assumptions'!F72,"0.00%")&amp;", CPI"</f>
        <v>3.19%, CPI</v>
      </c>
      <c r="O72" s="1527" t="str">
        <f t="shared" si="45"/>
        <v>0.00%</v>
      </c>
      <c r="P72" s="2">
        <f t="shared" si="50"/>
        <v>0</v>
      </c>
      <c r="Q72" s="1240" t="str">
        <f>TEXT('MYP Assumptions'!G72,"0.00%")&amp;", CPI"</f>
        <v>2.86%, CPI</v>
      </c>
      <c r="S72" s="83" t="str">
        <f t="shared" si="46"/>
        <v>0.00%</v>
      </c>
      <c r="T72" s="2">
        <f t="shared" si="51"/>
        <v>0</v>
      </c>
      <c r="U72" s="81" t="str">
        <f>TEXT('MYP Assumptions'!H72,"0.00%")&amp;", CPI"</f>
        <v>2.73%, CPI</v>
      </c>
      <c r="W72" s="83" t="str">
        <f t="shared" si="47"/>
        <v>0.00%</v>
      </c>
      <c r="X72" s="2">
        <f t="shared" si="52"/>
        <v>0</v>
      </c>
      <c r="Y72" s="81" t="str">
        <f>TEXT('MYP Assumptions'!I72,"0.00%")&amp;", CPI"</f>
        <v>2.73%, CPI</v>
      </c>
      <c r="AA72" s="83" t="str">
        <f t="shared" si="48"/>
        <v>0.00%</v>
      </c>
      <c r="AB72" s="2">
        <f t="shared" si="53"/>
        <v>0</v>
      </c>
      <c r="AC72" s="81" t="str">
        <f>TEXT('MYP Assumptions'!J72,"0.00%")&amp;", CPI"</f>
        <v>2.73%, CPI</v>
      </c>
    </row>
    <row r="73" spans="1:29" hidden="1" x14ac:dyDescent="0.25">
      <c r="A73" s="153"/>
      <c r="B73" s="1326"/>
      <c r="D73" s="2">
        <v>0</v>
      </c>
      <c r="E73" s="1249"/>
      <c r="F73" s="2"/>
      <c r="G73" s="1527" t="str">
        <f t="shared" si="43"/>
        <v>0.00%</v>
      </c>
      <c r="H73" s="2">
        <f t="shared" si="54"/>
        <v>0</v>
      </c>
      <c r="I73" s="1240" t="str">
        <f>TEXT('MYP Assumptions'!E72,"0.00%")&amp;", CPI"</f>
        <v>3.11%, CPI</v>
      </c>
      <c r="J73" s="66"/>
      <c r="K73" s="1527" t="str">
        <f t="shared" si="44"/>
        <v>0.00%</v>
      </c>
      <c r="L73" s="2">
        <f t="shared" si="49"/>
        <v>0</v>
      </c>
      <c r="M73" s="1240" t="str">
        <f>TEXT('MYP Assumptions'!F72,"0.00%")&amp;", CPI"</f>
        <v>3.19%, CPI</v>
      </c>
      <c r="O73" s="1527" t="str">
        <f t="shared" si="45"/>
        <v>0.00%</v>
      </c>
      <c r="P73" s="2">
        <f t="shared" si="50"/>
        <v>0</v>
      </c>
      <c r="Q73" s="1240" t="str">
        <f>TEXT('MYP Assumptions'!G72,"0.00%")&amp;", CPI"</f>
        <v>2.86%, CPI</v>
      </c>
      <c r="S73" s="83" t="str">
        <f t="shared" si="46"/>
        <v>0.00%</v>
      </c>
      <c r="T73" s="2">
        <f t="shared" si="51"/>
        <v>0</v>
      </c>
      <c r="U73" s="81" t="str">
        <f>TEXT('MYP Assumptions'!H72,"0.00%")&amp;", CPI"</f>
        <v>2.73%, CPI</v>
      </c>
      <c r="W73" s="83" t="str">
        <f t="shared" si="47"/>
        <v>0.00%</v>
      </c>
      <c r="X73" s="2">
        <f t="shared" si="52"/>
        <v>0</v>
      </c>
      <c r="Y73" s="81" t="str">
        <f>TEXT('MYP Assumptions'!I72,"0.00%")&amp;", CPI"</f>
        <v>2.73%, CPI</v>
      </c>
      <c r="AA73" s="83" t="str">
        <f t="shared" si="48"/>
        <v>0.00%</v>
      </c>
      <c r="AB73" s="2">
        <f t="shared" si="53"/>
        <v>0</v>
      </c>
      <c r="AC73" s="81" t="str">
        <f>TEXT('MYP Assumptions'!J72,"0.00%")&amp;", CPI"</f>
        <v>2.73%, CPI</v>
      </c>
    </row>
    <row r="74" spans="1:29" hidden="1" x14ac:dyDescent="0.25">
      <c r="A74" s="153"/>
      <c r="B74" s="1326"/>
      <c r="D74" s="2">
        <v>0</v>
      </c>
      <c r="E74" s="1249"/>
      <c r="F74" s="2"/>
      <c r="G74" s="1527" t="str">
        <f t="shared" si="43"/>
        <v>0.00%</v>
      </c>
      <c r="H74" s="2">
        <f t="shared" si="54"/>
        <v>0</v>
      </c>
      <c r="I74" s="1240" t="str">
        <f>TEXT('MYP Assumptions'!E72,"0.00%")&amp;", CPI"</f>
        <v>3.11%, CPI</v>
      </c>
      <c r="J74" s="66"/>
      <c r="K74" s="1527" t="str">
        <f t="shared" si="44"/>
        <v>0.00%</v>
      </c>
      <c r="L74" s="2">
        <f t="shared" si="49"/>
        <v>0</v>
      </c>
      <c r="M74" s="1240" t="str">
        <f>TEXT('MYP Assumptions'!F72,"0.00%")&amp;", CPI"</f>
        <v>3.19%, CPI</v>
      </c>
      <c r="O74" s="1527" t="str">
        <f t="shared" si="45"/>
        <v>0.00%</v>
      </c>
      <c r="P74" s="2">
        <f t="shared" si="50"/>
        <v>0</v>
      </c>
      <c r="Q74" s="1240" t="str">
        <f>TEXT('MYP Assumptions'!G72,"0.00%")&amp;", CPI"</f>
        <v>2.86%, CPI</v>
      </c>
      <c r="S74" s="83" t="str">
        <f t="shared" si="46"/>
        <v>0.00%</v>
      </c>
      <c r="T74" s="2">
        <f t="shared" si="51"/>
        <v>0</v>
      </c>
      <c r="U74" s="81" t="str">
        <f>TEXT('MYP Assumptions'!H72,"0.00%")&amp;", CPI"</f>
        <v>2.73%, CPI</v>
      </c>
      <c r="W74" s="83" t="str">
        <f t="shared" si="47"/>
        <v>0.00%</v>
      </c>
      <c r="X74" s="2">
        <f t="shared" si="52"/>
        <v>0</v>
      </c>
      <c r="Y74" s="81" t="str">
        <f>TEXT('MYP Assumptions'!I72,"0.00%")&amp;", CPI"</f>
        <v>2.73%, CPI</v>
      </c>
      <c r="AA74" s="83" t="str">
        <f t="shared" si="48"/>
        <v>0.00%</v>
      </c>
      <c r="AB74" s="2">
        <f t="shared" si="53"/>
        <v>0</v>
      </c>
      <c r="AC74" s="81" t="str">
        <f>TEXT('MYP Assumptions'!J72,"0.00%")&amp;", CPI"</f>
        <v>2.73%, CPI</v>
      </c>
    </row>
    <row r="75" spans="1:29" hidden="1" x14ac:dyDescent="0.25">
      <c r="A75" s="153"/>
      <c r="B75" s="1326"/>
      <c r="D75" s="2">
        <v>0</v>
      </c>
      <c r="E75" s="1249"/>
      <c r="F75" s="2"/>
      <c r="G75" s="1527" t="str">
        <f>IF(D75=0,"0.00%",(H75-D75)/D75)</f>
        <v>0.00%</v>
      </c>
      <c r="H75" s="2">
        <f t="shared" si="54"/>
        <v>0</v>
      </c>
      <c r="I75" s="1240" t="str">
        <f>TEXT('MYP Assumptions'!E72,"0.00%")&amp;", CPI"</f>
        <v>3.11%, CPI</v>
      </c>
      <c r="J75" s="66"/>
      <c r="K75" s="1527" t="str">
        <f t="shared" si="44"/>
        <v>0.00%</v>
      </c>
      <c r="L75" s="2">
        <f t="shared" si="49"/>
        <v>0</v>
      </c>
      <c r="M75" s="1240" t="str">
        <f>TEXT('MYP Assumptions'!F72,"0.00%")&amp;", CPI"</f>
        <v>3.19%, CPI</v>
      </c>
      <c r="O75" s="1527" t="str">
        <f t="shared" si="45"/>
        <v>0.00%</v>
      </c>
      <c r="P75" s="2">
        <f t="shared" si="50"/>
        <v>0</v>
      </c>
      <c r="Q75" s="1240" t="str">
        <f>TEXT('MYP Assumptions'!G72,"0.00%")&amp;", CPI"</f>
        <v>2.86%, CPI</v>
      </c>
      <c r="S75" s="83" t="str">
        <f t="shared" si="46"/>
        <v>0.00%</v>
      </c>
      <c r="T75" s="2">
        <f t="shared" si="51"/>
        <v>0</v>
      </c>
      <c r="U75" s="81" t="str">
        <f>TEXT('MYP Assumptions'!H72,"0.00%")&amp;", CPI"</f>
        <v>2.73%, CPI</v>
      </c>
      <c r="W75" s="83" t="str">
        <f t="shared" si="47"/>
        <v>0.00%</v>
      </c>
      <c r="X75" s="2">
        <f t="shared" si="52"/>
        <v>0</v>
      </c>
      <c r="Y75" s="81" t="str">
        <f>TEXT('MYP Assumptions'!I72,"0.00%")&amp;", CPI"</f>
        <v>2.73%, CPI</v>
      </c>
      <c r="AA75" s="83" t="str">
        <f t="shared" si="48"/>
        <v>0.00%</v>
      </c>
      <c r="AB75" s="2">
        <f t="shared" si="53"/>
        <v>0</v>
      </c>
      <c r="AC75" s="81" t="str">
        <f>TEXT('MYP Assumptions'!J72,"0.00%")&amp;", CPI"</f>
        <v>2.73%, CPI</v>
      </c>
    </row>
    <row r="76" spans="1:29" hidden="1" x14ac:dyDescent="0.25">
      <c r="A76" s="153"/>
      <c r="B76" s="1326"/>
      <c r="D76" s="2">
        <v>0</v>
      </c>
      <c r="E76" s="1249"/>
      <c r="F76" s="2"/>
      <c r="G76" s="1527" t="str">
        <f t="shared" ref="G76:G82" si="55">IF(D76=0,"0.00%",(H76-D76)/D76)</f>
        <v>0.00%</v>
      </c>
      <c r="H76" s="2">
        <f t="shared" si="54"/>
        <v>0</v>
      </c>
      <c r="I76" s="1240" t="str">
        <f>TEXT('MYP Assumptions'!E72,"0.00%")&amp;", CPI"</f>
        <v>3.11%, CPI</v>
      </c>
      <c r="J76" s="66"/>
      <c r="K76" s="1527" t="str">
        <f t="shared" si="44"/>
        <v>0.00%</v>
      </c>
      <c r="L76" s="2">
        <f t="shared" si="49"/>
        <v>0</v>
      </c>
      <c r="M76" s="1240" t="str">
        <f>TEXT('MYP Assumptions'!F72,"0.00%")&amp;", CPI"</f>
        <v>3.19%, CPI</v>
      </c>
      <c r="O76" s="1527" t="str">
        <f t="shared" si="45"/>
        <v>0.00%</v>
      </c>
      <c r="P76" s="2">
        <f t="shared" si="50"/>
        <v>0</v>
      </c>
      <c r="Q76" s="1240" t="str">
        <f>TEXT('MYP Assumptions'!G72,"0.00%")&amp;", CPI"</f>
        <v>2.86%, CPI</v>
      </c>
      <c r="S76" s="83" t="str">
        <f t="shared" si="46"/>
        <v>0.00%</v>
      </c>
      <c r="T76" s="2">
        <f t="shared" si="51"/>
        <v>0</v>
      </c>
      <c r="U76" s="81" t="str">
        <f>TEXT('MYP Assumptions'!H72,"0.00%")&amp;", CPI"</f>
        <v>2.73%, CPI</v>
      </c>
      <c r="W76" s="83" t="str">
        <f t="shared" si="47"/>
        <v>0.00%</v>
      </c>
      <c r="X76" s="2">
        <f t="shared" si="52"/>
        <v>0</v>
      </c>
      <c r="Y76" s="81" t="str">
        <f>TEXT('MYP Assumptions'!I72,"0.00%")&amp;", CPI"</f>
        <v>2.73%, CPI</v>
      </c>
      <c r="AA76" s="83" t="str">
        <f t="shared" si="48"/>
        <v>0.00%</v>
      </c>
      <c r="AB76" s="2">
        <f t="shared" si="53"/>
        <v>0</v>
      </c>
      <c r="AC76" s="81" t="str">
        <f>TEXT('MYP Assumptions'!J72,"0.00%")&amp;", CPI"</f>
        <v>2.73%, CPI</v>
      </c>
    </row>
    <row r="77" spans="1:29" hidden="1" x14ac:dyDescent="0.25">
      <c r="A77" s="153"/>
      <c r="B77" s="1326"/>
      <c r="D77" s="2">
        <v>0</v>
      </c>
      <c r="E77" s="1249"/>
      <c r="F77" s="2"/>
      <c r="G77" s="1527" t="str">
        <f t="shared" si="55"/>
        <v>0.00%</v>
      </c>
      <c r="H77" s="2">
        <f>ROUND(D77*(LEFT(I77,5)+1),0)</f>
        <v>0</v>
      </c>
      <c r="I77" s="1240" t="str">
        <f>TEXT('MYP Assumptions'!E72,"0.00%")&amp;", CPI"</f>
        <v>3.11%, CPI</v>
      </c>
      <c r="J77" s="66"/>
      <c r="K77" s="1527" t="str">
        <f t="shared" si="44"/>
        <v>0.00%</v>
      </c>
      <c r="L77" s="2">
        <f t="shared" si="49"/>
        <v>0</v>
      </c>
      <c r="M77" s="1240" t="str">
        <f>TEXT('MYP Assumptions'!F72,"0.00%")&amp;", CPI"</f>
        <v>3.19%, CPI</v>
      </c>
      <c r="O77" s="1527" t="str">
        <f t="shared" si="45"/>
        <v>0.00%</v>
      </c>
      <c r="P77" s="2">
        <f t="shared" si="50"/>
        <v>0</v>
      </c>
      <c r="Q77" s="1240" t="str">
        <f>TEXT('MYP Assumptions'!G72,"0.00%")&amp;", CPI"</f>
        <v>2.86%, CPI</v>
      </c>
      <c r="S77" s="83" t="str">
        <f t="shared" si="46"/>
        <v>0.00%</v>
      </c>
      <c r="T77" s="2">
        <f t="shared" si="51"/>
        <v>0</v>
      </c>
      <c r="U77" s="81" t="str">
        <f>TEXT('MYP Assumptions'!H72,"0.00%")&amp;", CPI"</f>
        <v>2.73%, CPI</v>
      </c>
      <c r="W77" s="83" t="str">
        <f t="shared" si="47"/>
        <v>0.00%</v>
      </c>
      <c r="X77" s="2">
        <f t="shared" si="52"/>
        <v>0</v>
      </c>
      <c r="Y77" s="81" t="str">
        <f>TEXT('MYP Assumptions'!I72,"0.00%")&amp;", CPI"</f>
        <v>2.73%, CPI</v>
      </c>
      <c r="AA77" s="83" t="str">
        <f t="shared" si="48"/>
        <v>0.00%</v>
      </c>
      <c r="AB77" s="2">
        <f t="shared" si="53"/>
        <v>0</v>
      </c>
      <c r="AC77" s="81" t="str">
        <f>TEXT('MYP Assumptions'!J72,"0.00%")&amp;", CPI"</f>
        <v>2.73%, CPI</v>
      </c>
    </row>
    <row r="78" spans="1:29" hidden="1" x14ac:dyDescent="0.25">
      <c r="A78" s="153"/>
      <c r="B78" s="1326"/>
      <c r="D78" s="2">
        <v>0</v>
      </c>
      <c r="E78" s="1249"/>
      <c r="F78" s="2"/>
      <c r="G78" s="1527" t="str">
        <f t="shared" si="55"/>
        <v>0.00%</v>
      </c>
      <c r="H78" s="2">
        <f>ROUND(D78*(LEFT(I78,5)+1),0)</f>
        <v>0</v>
      </c>
      <c r="I78" s="1240" t="str">
        <f>TEXT('MYP Assumptions'!E72,"0.00%")&amp;", CPI"</f>
        <v>3.11%, CPI</v>
      </c>
      <c r="J78" s="66"/>
      <c r="K78" s="1527" t="str">
        <f t="shared" si="44"/>
        <v>0.00%</v>
      </c>
      <c r="L78" s="2">
        <f t="shared" si="49"/>
        <v>0</v>
      </c>
      <c r="M78" s="1240" t="str">
        <f>TEXT('MYP Assumptions'!F72,"0.00%")&amp;", CPI"</f>
        <v>3.19%, CPI</v>
      </c>
      <c r="O78" s="1527" t="str">
        <f t="shared" si="45"/>
        <v>0.00%</v>
      </c>
      <c r="P78" s="2">
        <f t="shared" si="50"/>
        <v>0</v>
      </c>
      <c r="Q78" s="1240" t="str">
        <f>TEXT('MYP Assumptions'!G72,"0.00%")&amp;", CPI"</f>
        <v>2.86%, CPI</v>
      </c>
      <c r="S78" s="83" t="str">
        <f t="shared" si="46"/>
        <v>0.00%</v>
      </c>
      <c r="T78" s="2">
        <f t="shared" si="51"/>
        <v>0</v>
      </c>
      <c r="U78" s="81" t="str">
        <f>TEXT('MYP Assumptions'!H72,"0.00%")&amp;", CPI"</f>
        <v>2.73%, CPI</v>
      </c>
      <c r="W78" s="83" t="str">
        <f t="shared" si="47"/>
        <v>0.00%</v>
      </c>
      <c r="X78" s="2">
        <f t="shared" si="52"/>
        <v>0</v>
      </c>
      <c r="Y78" s="81" t="str">
        <f>TEXT('MYP Assumptions'!I72,"0.00%")&amp;", CPI"</f>
        <v>2.73%, CPI</v>
      </c>
      <c r="AA78" s="83" t="str">
        <f t="shared" si="48"/>
        <v>0.00%</v>
      </c>
      <c r="AB78" s="2">
        <f t="shared" si="53"/>
        <v>0</v>
      </c>
      <c r="AC78" s="81" t="str">
        <f>TEXT('MYP Assumptions'!J72,"0.00%")&amp;", CPI"</f>
        <v>2.73%, CPI</v>
      </c>
    </row>
    <row r="79" spans="1:29" hidden="1" x14ac:dyDescent="0.25">
      <c r="A79" s="153"/>
      <c r="B79" s="1326"/>
      <c r="D79" s="2">
        <v>0</v>
      </c>
      <c r="E79" s="1249"/>
      <c r="F79" s="2"/>
      <c r="G79" s="1527" t="str">
        <f t="shared" si="55"/>
        <v>0.00%</v>
      </c>
      <c r="H79" s="2">
        <f>ROUND(D79*(LEFT(I79,5)+1),0)</f>
        <v>0</v>
      </c>
      <c r="I79" s="1240" t="str">
        <f>TEXT('MYP Assumptions'!E72,"0.00%")&amp;", CPI"</f>
        <v>3.11%, CPI</v>
      </c>
      <c r="J79" s="66"/>
      <c r="K79" s="1527" t="str">
        <f t="shared" si="44"/>
        <v>0.00%</v>
      </c>
      <c r="L79" s="2">
        <f t="shared" si="49"/>
        <v>0</v>
      </c>
      <c r="M79" s="1240" t="str">
        <f>TEXT('MYP Assumptions'!F72,"0.00%")&amp;", CPI"</f>
        <v>3.19%, CPI</v>
      </c>
      <c r="O79" s="1527" t="str">
        <f t="shared" si="45"/>
        <v>0.00%</v>
      </c>
      <c r="P79" s="2">
        <f t="shared" si="50"/>
        <v>0</v>
      </c>
      <c r="Q79" s="1240" t="str">
        <f>TEXT('MYP Assumptions'!G72,"0.00%")&amp;", CPI"</f>
        <v>2.86%, CPI</v>
      </c>
      <c r="S79" s="83" t="str">
        <f t="shared" si="46"/>
        <v>0.00%</v>
      </c>
      <c r="T79" s="2">
        <f t="shared" si="51"/>
        <v>0</v>
      </c>
      <c r="U79" s="81" t="str">
        <f>TEXT('MYP Assumptions'!H72,"0.00%")&amp;", CPI"</f>
        <v>2.73%, CPI</v>
      </c>
      <c r="W79" s="83" t="str">
        <f t="shared" si="47"/>
        <v>0.00%</v>
      </c>
      <c r="X79" s="2">
        <f t="shared" si="52"/>
        <v>0</v>
      </c>
      <c r="Y79" s="81" t="str">
        <f>TEXT('MYP Assumptions'!I72,"0.00%")&amp;", CPI"</f>
        <v>2.73%, CPI</v>
      </c>
      <c r="AA79" s="83" t="str">
        <f t="shared" si="48"/>
        <v>0.00%</v>
      </c>
      <c r="AB79" s="2">
        <f t="shared" si="53"/>
        <v>0</v>
      </c>
      <c r="AC79" s="81" t="str">
        <f>TEXT('MYP Assumptions'!J72,"0.00%")&amp;", CPI"</f>
        <v>2.73%, CPI</v>
      </c>
    </row>
    <row r="80" spans="1:29" hidden="1" x14ac:dyDescent="0.25">
      <c r="A80" s="153"/>
      <c r="B80" s="1326"/>
      <c r="D80" s="2">
        <v>0</v>
      </c>
      <c r="E80" s="1249"/>
      <c r="F80" s="2"/>
      <c r="G80" s="1527" t="str">
        <f t="shared" si="55"/>
        <v>0.00%</v>
      </c>
      <c r="H80" s="2">
        <f>ROUND(D80*(LEFT(I80,5)+1),0)</f>
        <v>0</v>
      </c>
      <c r="I80" s="1240" t="str">
        <f>TEXT('MYP Assumptions'!E72,"0.00%")&amp;", CPI"</f>
        <v>3.11%, CPI</v>
      </c>
      <c r="J80" s="66"/>
      <c r="K80" s="1527" t="str">
        <f t="shared" si="44"/>
        <v>0.00%</v>
      </c>
      <c r="L80" s="2">
        <f t="shared" si="49"/>
        <v>0</v>
      </c>
      <c r="M80" s="1240" t="str">
        <f>TEXT('MYP Assumptions'!F72,"0.00%")&amp;", CPI"</f>
        <v>3.19%, CPI</v>
      </c>
      <c r="O80" s="1527" t="str">
        <f t="shared" si="45"/>
        <v>0.00%</v>
      </c>
      <c r="P80" s="2">
        <f t="shared" si="50"/>
        <v>0</v>
      </c>
      <c r="Q80" s="1240" t="str">
        <f>TEXT('MYP Assumptions'!G72,"0.00%")&amp;", CPI"</f>
        <v>2.86%, CPI</v>
      </c>
      <c r="S80" s="83" t="str">
        <f t="shared" si="46"/>
        <v>0.00%</v>
      </c>
      <c r="T80" s="2">
        <f t="shared" si="51"/>
        <v>0</v>
      </c>
      <c r="U80" s="81" t="str">
        <f>TEXT('MYP Assumptions'!H72,"0.00%")&amp;", CPI"</f>
        <v>2.73%, CPI</v>
      </c>
      <c r="W80" s="83" t="str">
        <f t="shared" si="47"/>
        <v>0.00%</v>
      </c>
      <c r="X80" s="2">
        <f t="shared" si="52"/>
        <v>0</v>
      </c>
      <c r="Y80" s="81" t="str">
        <f>TEXT('MYP Assumptions'!I72,"0.00%")&amp;", CPI"</f>
        <v>2.73%, CPI</v>
      </c>
      <c r="AA80" s="83" t="str">
        <f t="shared" si="48"/>
        <v>0.00%</v>
      </c>
      <c r="AB80" s="2">
        <f t="shared" si="53"/>
        <v>0</v>
      </c>
      <c r="AC80" s="81" t="str">
        <f>TEXT('MYP Assumptions'!J72,"0.00%")&amp;", CPI"</f>
        <v>2.73%, CPI</v>
      </c>
    </row>
    <row r="81" spans="1:29" hidden="1" x14ac:dyDescent="0.25">
      <c r="A81" s="153"/>
      <c r="B81" s="1326"/>
      <c r="D81" s="2">
        <f>'RS 3010-ALL'!AF80</f>
        <v>0</v>
      </c>
      <c r="E81" s="1249"/>
      <c r="F81" s="2"/>
      <c r="G81" s="1527" t="str">
        <f t="shared" si="55"/>
        <v>0.00%</v>
      </c>
      <c r="H81" s="2">
        <f>ROUND(D81*(LEFT(I81,5)+1),0)</f>
        <v>0</v>
      </c>
      <c r="I81" s="1240" t="str">
        <f>TEXT('MYP Assumptions'!E72,"0.00%")&amp;", CPI"</f>
        <v>3.11%, CPI</v>
      </c>
      <c r="J81" s="66"/>
      <c r="K81" s="1527" t="str">
        <f t="shared" si="44"/>
        <v>0.00%</v>
      </c>
      <c r="L81" s="2">
        <f t="shared" si="49"/>
        <v>0</v>
      </c>
      <c r="M81" s="1240" t="str">
        <f>TEXT('MYP Assumptions'!F72,"0.00%")&amp;", CPI"</f>
        <v>3.19%, CPI</v>
      </c>
      <c r="O81" s="1527" t="str">
        <f t="shared" si="45"/>
        <v>0.00%</v>
      </c>
      <c r="P81" s="2">
        <f t="shared" si="50"/>
        <v>0</v>
      </c>
      <c r="Q81" s="1240" t="str">
        <f>TEXT('MYP Assumptions'!G72,"0.00%")&amp;", CPI"</f>
        <v>2.86%, CPI</v>
      </c>
      <c r="S81" s="83" t="str">
        <f t="shared" si="46"/>
        <v>0.00%</v>
      </c>
      <c r="T81" s="2">
        <f t="shared" si="51"/>
        <v>0</v>
      </c>
      <c r="U81" s="81" t="str">
        <f>TEXT('MYP Assumptions'!H72,"0.00%")&amp;", CPI"</f>
        <v>2.73%, CPI</v>
      </c>
      <c r="W81" s="83" t="str">
        <f t="shared" si="47"/>
        <v>0.00%</v>
      </c>
      <c r="X81" s="2">
        <f t="shared" si="52"/>
        <v>0</v>
      </c>
      <c r="Y81" s="81" t="str">
        <f>TEXT('MYP Assumptions'!I72,"0.00%")&amp;", CPI"</f>
        <v>2.73%, CPI</v>
      </c>
      <c r="AA81" s="83" t="str">
        <f t="shared" si="48"/>
        <v>0.00%</v>
      </c>
      <c r="AB81" s="2">
        <f t="shared" si="53"/>
        <v>0</v>
      </c>
      <c r="AC81" s="81" t="str">
        <f>TEXT('MYP Assumptions'!J72,"0.00%")&amp;", CPI"</f>
        <v>2.73%, CPI</v>
      </c>
    </row>
    <row r="82" spans="1:29" hidden="1" x14ac:dyDescent="0.25">
      <c r="A82" s="154"/>
      <c r="D82" s="8">
        <f>SUM(D69:D81)</f>
        <v>0</v>
      </c>
      <c r="E82" s="1249"/>
      <c r="F82" s="2"/>
      <c r="G82" s="1527" t="str">
        <f t="shared" si="55"/>
        <v>0.00%</v>
      </c>
      <c r="H82" s="8">
        <f>SUM(H69:H81)</f>
        <v>0</v>
      </c>
      <c r="I82" s="1258"/>
      <c r="J82" s="29"/>
      <c r="K82" s="1527" t="str">
        <f t="shared" si="44"/>
        <v>0.00%</v>
      </c>
      <c r="L82" s="8">
        <f>SUM(L69:L81)</f>
        <v>0</v>
      </c>
      <c r="M82" s="1335"/>
      <c r="O82" s="1527" t="str">
        <f t="shared" si="45"/>
        <v>0.00%</v>
      </c>
      <c r="P82" s="8">
        <f>SUM(P69:P81)</f>
        <v>0</v>
      </c>
      <c r="Q82" s="1335"/>
      <c r="S82" s="83" t="str">
        <f t="shared" si="46"/>
        <v>0.00%</v>
      </c>
      <c r="T82" s="8">
        <f>SUM(T69:T81)</f>
        <v>0</v>
      </c>
      <c r="U82" s="73"/>
      <c r="W82" s="83" t="str">
        <f t="shared" si="47"/>
        <v>0.00%</v>
      </c>
      <c r="X82" s="8">
        <f>SUM(X69:X81)</f>
        <v>0</v>
      </c>
      <c r="Y82" s="73"/>
      <c r="AA82" s="83" t="str">
        <f t="shared" si="48"/>
        <v>0.00%</v>
      </c>
      <c r="AB82" s="8">
        <f>SUM(AB69:AB81)</f>
        <v>0</v>
      </c>
      <c r="AC82" s="73"/>
    </row>
    <row r="83" spans="1:29" hidden="1" x14ac:dyDescent="0.25">
      <c r="A83" s="153"/>
      <c r="B83" s="1323"/>
      <c r="E83" s="1249"/>
      <c r="F83" s="2"/>
      <c r="G83" s="1527"/>
      <c r="H83" s="2"/>
      <c r="I83" s="1257"/>
      <c r="J83" s="66"/>
      <c r="L83" s="2"/>
      <c r="M83" s="1335"/>
      <c r="Q83" s="1335"/>
      <c r="T83" s="2"/>
      <c r="U83" s="73"/>
      <c r="X83" s="2"/>
      <c r="Y83" s="73"/>
      <c r="AB83" s="2"/>
      <c r="AC83" s="73"/>
    </row>
    <row r="84" spans="1:29" hidden="1" x14ac:dyDescent="0.25">
      <c r="A84" s="153"/>
      <c r="B84" s="1323" t="s">
        <v>237</v>
      </c>
      <c r="E84" s="1249"/>
      <c r="F84" s="2"/>
      <c r="G84" s="1527"/>
      <c r="H84" s="2"/>
      <c r="I84" s="1257"/>
      <c r="J84" s="66"/>
      <c r="L84" s="2"/>
      <c r="M84" s="1335"/>
      <c r="Q84" s="1335"/>
      <c r="T84" s="2"/>
      <c r="U84" s="73"/>
      <c r="X84" s="2"/>
      <c r="Y84" s="73"/>
      <c r="AB84" s="2"/>
      <c r="AC84" s="73"/>
    </row>
    <row r="85" spans="1:29" hidden="1" x14ac:dyDescent="0.25">
      <c r="A85" s="153"/>
      <c r="B85" s="1326">
        <v>7211</v>
      </c>
      <c r="C85" s="1243" t="s">
        <v>239</v>
      </c>
      <c r="D85" s="2">
        <v>0</v>
      </c>
      <c r="E85" s="1249"/>
      <c r="F85" s="2"/>
      <c r="G85" s="1527"/>
      <c r="H85" s="2">
        <f>+D85</f>
        <v>0</v>
      </c>
      <c r="I85" s="1257" t="s">
        <v>174</v>
      </c>
      <c r="J85" s="66"/>
      <c r="L85" s="2">
        <f>+H85</f>
        <v>0</v>
      </c>
      <c r="M85" s="1257" t="s">
        <v>174</v>
      </c>
      <c r="P85" s="2">
        <f>+L85</f>
        <v>0</v>
      </c>
      <c r="Q85" s="1257" t="s">
        <v>174</v>
      </c>
      <c r="T85" s="2">
        <f>+P85</f>
        <v>0</v>
      </c>
      <c r="U85" s="36" t="s">
        <v>174</v>
      </c>
      <c r="X85" s="2">
        <f>+T85</f>
        <v>0</v>
      </c>
      <c r="Y85" s="36" t="s">
        <v>174</v>
      </c>
      <c r="AB85" s="2">
        <f>+X85</f>
        <v>0</v>
      </c>
      <c r="AC85" s="36" t="s">
        <v>174</v>
      </c>
    </row>
    <row r="86" spans="1:29" hidden="1" x14ac:dyDescent="0.25">
      <c r="A86" s="153"/>
      <c r="B86" s="1323"/>
      <c r="D86" s="2">
        <v>0</v>
      </c>
      <c r="E86" s="1249"/>
      <c r="F86" s="2"/>
      <c r="G86" s="1527"/>
      <c r="H86" s="2">
        <v>0</v>
      </c>
      <c r="I86" s="1257"/>
      <c r="J86" s="66"/>
      <c r="L86" s="2">
        <v>0</v>
      </c>
      <c r="M86" s="1257"/>
      <c r="P86" s="2">
        <v>0</v>
      </c>
      <c r="Q86" s="1257"/>
      <c r="T86" s="2">
        <v>0</v>
      </c>
      <c r="U86" s="36"/>
      <c r="X86" s="2">
        <v>0</v>
      </c>
      <c r="Y86" s="36"/>
      <c r="AB86" s="2">
        <v>0</v>
      </c>
      <c r="AC86" s="36"/>
    </row>
    <row r="87" spans="1:29" hidden="1" x14ac:dyDescent="0.25">
      <c r="A87" s="153"/>
      <c r="B87" s="1323"/>
      <c r="D87" s="2">
        <v>0</v>
      </c>
      <c r="E87" s="1249"/>
      <c r="F87" s="2"/>
      <c r="G87" s="1527"/>
      <c r="H87" s="2">
        <v>0</v>
      </c>
      <c r="I87" s="1257"/>
      <c r="J87" s="66"/>
      <c r="L87" s="2">
        <v>0</v>
      </c>
      <c r="M87" s="1257"/>
      <c r="P87" s="2">
        <v>0</v>
      </c>
      <c r="Q87" s="1257"/>
      <c r="T87" s="2">
        <v>0</v>
      </c>
      <c r="U87" s="36"/>
      <c r="X87" s="2">
        <v>0</v>
      </c>
      <c r="Y87" s="36"/>
      <c r="AB87" s="2">
        <v>0</v>
      </c>
      <c r="AC87" s="36"/>
    </row>
    <row r="88" spans="1:29" ht="6.75" hidden="1" customHeight="1" x14ac:dyDescent="0.25">
      <c r="A88" s="153"/>
      <c r="B88" s="1323"/>
      <c r="E88" s="1249"/>
      <c r="F88" s="2"/>
      <c r="G88" s="1527"/>
      <c r="H88" s="2"/>
      <c r="I88" s="1257"/>
      <c r="J88" s="66"/>
      <c r="L88" s="2"/>
      <c r="M88" s="1257"/>
      <c r="Q88" s="1257"/>
      <c r="T88" s="2"/>
      <c r="U88" s="36"/>
      <c r="X88" s="2"/>
      <c r="Y88" s="36"/>
      <c r="AB88" s="2"/>
      <c r="AC88" s="36"/>
    </row>
    <row r="89" spans="1:29" s="13" customFormat="1" hidden="1" x14ac:dyDescent="0.25">
      <c r="A89" s="155"/>
      <c r="B89" s="1325"/>
      <c r="C89" s="1325"/>
      <c r="D89" s="161">
        <f>SUM(D85:D88)</f>
        <v>0</v>
      </c>
      <c r="E89" s="1247"/>
      <c r="F89" s="10"/>
      <c r="G89" s="1538"/>
      <c r="H89" s="161">
        <f>SUM(H85:H88)</f>
        <v>0</v>
      </c>
      <c r="I89" s="1250"/>
      <c r="J89" s="57"/>
      <c r="K89" s="1570"/>
      <c r="L89" s="161">
        <f>SUM(L85:L88)</f>
        <v>0</v>
      </c>
      <c r="M89" s="1250"/>
      <c r="O89" s="1570"/>
      <c r="P89" s="161">
        <f>SUM(P85:P88)</f>
        <v>0</v>
      </c>
      <c r="Q89" s="1250"/>
      <c r="R89" s="111"/>
      <c r="T89" s="161">
        <f>SUM(T85:T88)</f>
        <v>0</v>
      </c>
      <c r="U89" s="6"/>
      <c r="X89" s="161">
        <f>SUM(X85:X88)</f>
        <v>0</v>
      </c>
      <c r="Y89" s="6"/>
      <c r="AB89" s="161">
        <f>SUM(AB85:AB88)</f>
        <v>0</v>
      </c>
      <c r="AC89" s="6"/>
    </row>
    <row r="90" spans="1:29" x14ac:dyDescent="0.25">
      <c r="A90" s="153"/>
      <c r="E90" s="1249"/>
      <c r="F90" s="2"/>
      <c r="H90" s="2"/>
      <c r="I90" s="1257"/>
      <c r="J90" s="66"/>
      <c r="L90" s="2"/>
      <c r="M90" s="1257"/>
      <c r="Q90" s="1257"/>
      <c r="T90" s="2"/>
      <c r="U90" s="36"/>
      <c r="X90" s="2"/>
      <c r="Y90" s="36"/>
      <c r="AB90" s="2"/>
      <c r="AC90" s="36"/>
    </row>
    <row r="91" spans="1:29" x14ac:dyDescent="0.25">
      <c r="A91" s="154"/>
      <c r="B91" s="1323" t="s">
        <v>0</v>
      </c>
      <c r="D91" s="8">
        <f>SUM(D82,D66,D55,D13,D89)</f>
        <v>1510</v>
      </c>
      <c r="E91" s="1249"/>
      <c r="F91" s="2"/>
      <c r="G91" s="1527">
        <f>IF(D91=0,"0.00%",(H91-D91)/D91)</f>
        <v>13.653642384105961</v>
      </c>
      <c r="H91" s="8">
        <f>SUM(H82,H66,H55,H13,H89)</f>
        <v>22127</v>
      </c>
      <c r="I91" s="1882">
        <f>+H91-D91</f>
        <v>20617</v>
      </c>
      <c r="J91" s="29"/>
      <c r="K91" s="1527">
        <f>IF(H91=0,"0.00%",(L91-H91)/H91)</f>
        <v>0</v>
      </c>
      <c r="L91" s="8">
        <f>SUM(L82,L66,L55,L13,L89)</f>
        <v>22127</v>
      </c>
      <c r="M91" s="1882">
        <f>+L91-H91</f>
        <v>0</v>
      </c>
      <c r="O91" s="1527">
        <f>IF(L91=0,"0.00%",(P91-L91)/L91)</f>
        <v>0</v>
      </c>
      <c r="P91" s="8">
        <f>SUM(P82,P66,P55,P13,P89)</f>
        <v>22127</v>
      </c>
      <c r="Q91" s="1882">
        <f>+P91-L91</f>
        <v>0</v>
      </c>
      <c r="S91" s="83">
        <f>IF(P91=0,"0.00%",(T91-P91)/P91)</f>
        <v>-4.3385908618429969E-3</v>
      </c>
      <c r="T91" s="8">
        <f>SUM(T82,T66,T55,T13,T89)</f>
        <v>22031</v>
      </c>
      <c r="U91" s="5"/>
      <c r="W91" s="83">
        <f>IF(T91=0,"0.00%",(X91-T91)/T91)</f>
        <v>2.0017248422677138E-2</v>
      </c>
      <c r="X91" s="8">
        <f>SUM(X82,X66,X55,X13,X89)</f>
        <v>22472</v>
      </c>
      <c r="Y91" s="5"/>
      <c r="AA91" s="83">
        <f>IF(X91=0,"0.00%",(AB91-X91)/X91)</f>
        <v>1.9935920256318976E-2</v>
      </c>
      <c r="AB91" s="8">
        <f>SUM(AB82,AB66,AB55,AB13,AB89)</f>
        <v>22920</v>
      </c>
      <c r="AC91" s="5"/>
    </row>
    <row r="92" spans="1:29" x14ac:dyDescent="0.25">
      <c r="A92" s="153"/>
      <c r="E92" s="1249"/>
      <c r="F92" s="2"/>
      <c r="H92" s="2"/>
      <c r="I92" s="1257"/>
      <c r="J92" s="66"/>
      <c r="L92" s="2"/>
      <c r="M92" s="1335"/>
      <c r="Q92" s="1335"/>
      <c r="T92" s="2"/>
      <c r="U92" s="73"/>
      <c r="X92" s="2"/>
      <c r="Y92" s="73"/>
      <c r="AB92" s="2"/>
      <c r="AC92" s="73"/>
    </row>
    <row r="93" spans="1:29" x14ac:dyDescent="0.25">
      <c r="A93" s="153"/>
      <c r="B93" s="1323" t="s">
        <v>138</v>
      </c>
      <c r="D93" s="3">
        <f>D11-D91</f>
        <v>0</v>
      </c>
      <c r="G93" s="1527" t="str">
        <f>IF(D93=0,"0.00%",(H93-D93)/D93)</f>
        <v>0.00%</v>
      </c>
      <c r="H93" s="3">
        <f>H11-H91</f>
        <v>0</v>
      </c>
      <c r="I93" s="1257"/>
      <c r="J93" s="66"/>
      <c r="K93" s="1527" t="str">
        <f>IF(H93=0,"0.00%",(L93-H93)/H93)</f>
        <v>0.00%</v>
      </c>
      <c r="L93" s="3">
        <f>L11-L91</f>
        <v>0</v>
      </c>
      <c r="M93" s="1335"/>
      <c r="O93" s="1527" t="str">
        <f>IF(L93=0,"0.00%",(P93-L93)/L93)</f>
        <v>0.00%</v>
      </c>
      <c r="P93" s="3">
        <f>P11-P91</f>
        <v>0</v>
      </c>
      <c r="Q93" s="1335"/>
      <c r="S93" s="83" t="str">
        <f>IF(P93=0,"0.00%",(T93-P93)/P93)</f>
        <v>0.00%</v>
      </c>
      <c r="T93" s="3">
        <f>T11-T91</f>
        <v>96</v>
      </c>
      <c r="U93" s="73"/>
      <c r="W93" s="83">
        <f>IF(T93=0,"0.00%",(X93-T93)/T93)</f>
        <v>-4.59375</v>
      </c>
      <c r="X93" s="3">
        <f>X11-X91</f>
        <v>-345</v>
      </c>
      <c r="Y93" s="73"/>
      <c r="AA93" s="83">
        <f>IF(X93=0,"0.00%",(AB93-X93)/X93)</f>
        <v>1.2985507246376811</v>
      </c>
      <c r="AB93" s="3">
        <f>AB11-AB91</f>
        <v>-793</v>
      </c>
      <c r="AC93" s="73"/>
    </row>
    <row r="94" spans="1:29" x14ac:dyDescent="0.25">
      <c r="B94" s="1323"/>
      <c r="C94" s="1317"/>
      <c r="D94" s="3"/>
      <c r="H94" s="3"/>
      <c r="I94" s="1257"/>
      <c r="J94" s="66"/>
      <c r="L94" s="3"/>
      <c r="M94" s="1335"/>
      <c r="P94" s="3"/>
      <c r="Q94" s="1335"/>
      <c r="T94" s="44"/>
      <c r="U94" s="73"/>
      <c r="X94" s="44"/>
      <c r="Y94" s="73"/>
      <c r="AB94" s="44"/>
      <c r="AC94" s="73"/>
    </row>
    <row r="95" spans="1:29" x14ac:dyDescent="0.25">
      <c r="B95" s="1323" t="s">
        <v>136</v>
      </c>
      <c r="C95" s="1319"/>
      <c r="D95" s="3">
        <f>D7+D93</f>
        <v>0</v>
      </c>
      <c r="G95" s="1527" t="str">
        <f>IF(D95=0,"0.00%",(H95-D95)/D95)</f>
        <v>0.00%</v>
      </c>
      <c r="H95" s="3">
        <f>H7+H93</f>
        <v>0</v>
      </c>
      <c r="I95" s="1257"/>
      <c r="J95" s="66"/>
      <c r="K95" s="1527" t="str">
        <f>IF(H95=0,"0.00%",(L95-H95)/H95)</f>
        <v>0.00%</v>
      </c>
      <c r="L95" s="3">
        <f>L7+L93</f>
        <v>0</v>
      </c>
      <c r="M95" s="1335"/>
      <c r="O95" s="1527" t="str">
        <f>IF(L95=0,"0.00%",(P95-L95)/L95)</f>
        <v>0.00%</v>
      </c>
      <c r="P95" s="3">
        <f>P7+P93</f>
        <v>0</v>
      </c>
      <c r="Q95" s="1335"/>
      <c r="S95" s="83" t="str">
        <f>IF(P95=0,"0.00%",(T95-P95)/P95)</f>
        <v>0.00%</v>
      </c>
      <c r="T95" s="49">
        <f>T7+T93</f>
        <v>96</v>
      </c>
      <c r="U95" s="73"/>
      <c r="W95" s="83">
        <f>IF(T95=0,"0.00%",(X95-T95)/T95)</f>
        <v>-3.59375</v>
      </c>
      <c r="X95" s="49">
        <f>X7+X93</f>
        <v>-249</v>
      </c>
      <c r="Y95" s="73"/>
      <c r="AA95" s="83">
        <f>IF(X95=0,"0.00%",(AB95-X95)/X95)</f>
        <v>3.1847389558232932</v>
      </c>
      <c r="AB95" s="49">
        <f>AB7+AB93</f>
        <v>-1042</v>
      </c>
      <c r="AC95" s="73"/>
    </row>
    <row r="96" spans="1:29" x14ac:dyDescent="0.25">
      <c r="C96" s="1259"/>
      <c r="G96" s="1540"/>
      <c r="H96" s="5"/>
      <c r="I96" s="1258"/>
      <c r="J96" s="29"/>
      <c r="L96" s="5"/>
      <c r="M96" s="1335"/>
      <c r="P96" s="5"/>
      <c r="Q96" s="1335"/>
      <c r="T96" s="5"/>
      <c r="U96" s="73"/>
      <c r="X96" s="5"/>
      <c r="Y96" s="73"/>
      <c r="AB96" s="5"/>
      <c r="AC96" s="73"/>
    </row>
    <row r="97" spans="1:29" x14ac:dyDescent="0.25">
      <c r="C97" s="1254"/>
      <c r="G97" s="1540"/>
      <c r="H97" s="36"/>
      <c r="I97" s="1257"/>
      <c r="J97" s="66"/>
      <c r="L97" s="2"/>
      <c r="M97" s="1335"/>
      <c r="Q97" s="1335"/>
      <c r="T97" s="2"/>
      <c r="U97" s="73"/>
      <c r="X97" s="2"/>
      <c r="Y97" s="73"/>
      <c r="AB97" s="2"/>
      <c r="AC97" s="73"/>
    </row>
    <row r="98" spans="1:29" x14ac:dyDescent="0.25">
      <c r="C98" s="1254"/>
      <c r="G98" s="1540"/>
      <c r="H98" s="36"/>
      <c r="I98" s="1257"/>
      <c r="J98" s="66"/>
      <c r="L98" s="2"/>
      <c r="M98" s="1335"/>
      <c r="Q98" s="1335"/>
      <c r="T98" s="2"/>
      <c r="U98" s="73"/>
      <c r="X98" s="2"/>
      <c r="Y98" s="73"/>
      <c r="AB98" s="2"/>
      <c r="AC98" s="73"/>
    </row>
    <row r="99" spans="1:29" x14ac:dyDescent="0.25">
      <c r="C99" s="1254"/>
      <c r="G99" s="1540"/>
      <c r="H99" s="36"/>
      <c r="I99" s="1257"/>
      <c r="J99" s="66"/>
      <c r="L99" s="2"/>
      <c r="M99" s="1335"/>
      <c r="Q99" s="1335"/>
      <c r="T99" s="2"/>
      <c r="U99" s="73"/>
      <c r="X99" s="2"/>
      <c r="Y99" s="73"/>
      <c r="AB99" s="2"/>
      <c r="AC99" s="73"/>
    </row>
    <row r="100" spans="1:29" x14ac:dyDescent="0.25">
      <c r="C100" s="1254"/>
      <c r="G100" s="1540"/>
      <c r="H100" s="36"/>
      <c r="I100" s="1257"/>
      <c r="J100" s="66"/>
      <c r="L100" s="2"/>
      <c r="M100" s="1335"/>
      <c r="Q100" s="1335"/>
      <c r="T100" s="2"/>
      <c r="U100" s="73"/>
      <c r="X100" s="2"/>
      <c r="Y100" s="73"/>
      <c r="AB100" s="2"/>
      <c r="AC100" s="73"/>
    </row>
    <row r="101" spans="1:29" s="138" customFormat="1" ht="11.25" x14ac:dyDescent="0.2">
      <c r="A101" s="157"/>
      <c r="B101" s="1329"/>
      <c r="C101" s="1330" t="s">
        <v>226</v>
      </c>
      <c r="D101" s="135">
        <f>+D82+D66+D53+D41+D30</f>
        <v>1461</v>
      </c>
      <c r="E101" s="1251"/>
      <c r="G101" s="1541" t="s">
        <v>226</v>
      </c>
      <c r="H101" s="135">
        <f>+H82+H66+H53+H41+H30</f>
        <v>21186</v>
      </c>
      <c r="I101" s="1260"/>
      <c r="J101" s="136"/>
      <c r="K101" s="1541" t="s">
        <v>226</v>
      </c>
      <c r="L101" s="135">
        <f>+L82+L66+L53+L41+L30</f>
        <v>21520</v>
      </c>
      <c r="M101" s="1338"/>
      <c r="O101" s="1541" t="s">
        <v>226</v>
      </c>
      <c r="P101" s="135">
        <f>+P82+P66+P53+P41+P30</f>
        <v>21575</v>
      </c>
      <c r="Q101" s="1338"/>
      <c r="R101" s="140"/>
      <c r="S101" s="134" t="s">
        <v>226</v>
      </c>
      <c r="T101" s="135">
        <f>+T82+T66+T53+T41+T30</f>
        <v>22031</v>
      </c>
      <c r="U101" s="139"/>
      <c r="W101" s="134" t="s">
        <v>226</v>
      </c>
      <c r="X101" s="135">
        <f>+X82+X66+X53+X41+X30</f>
        <v>22472</v>
      </c>
      <c r="Y101" s="139"/>
      <c r="AA101" s="134" t="s">
        <v>226</v>
      </c>
      <c r="AB101" s="135">
        <f>+AB82+AB66+AB53+AB41+AB30</f>
        <v>22920</v>
      </c>
      <c r="AC101" s="139"/>
    </row>
    <row r="102" spans="1:29" s="138" customFormat="1" ht="11.25" x14ac:dyDescent="0.2">
      <c r="A102" s="159"/>
      <c r="B102" s="1329"/>
      <c r="C102" s="1331" t="s">
        <v>227</v>
      </c>
      <c r="D102" s="143">
        <f>+D13</f>
        <v>49</v>
      </c>
      <c r="E102" s="1252"/>
      <c r="F102" s="145"/>
      <c r="G102" s="1546" t="s">
        <v>227</v>
      </c>
      <c r="H102" s="143">
        <f>+H13</f>
        <v>941</v>
      </c>
      <c r="I102" s="1261"/>
      <c r="J102" s="144"/>
      <c r="K102" s="1546" t="s">
        <v>227</v>
      </c>
      <c r="L102" s="143">
        <f>+L13</f>
        <v>607</v>
      </c>
      <c r="M102" s="1338"/>
      <c r="O102" s="1546" t="s">
        <v>227</v>
      </c>
      <c r="P102" s="143">
        <f>+P13</f>
        <v>552</v>
      </c>
      <c r="Q102" s="1251"/>
      <c r="R102" s="140"/>
      <c r="S102" s="142" t="s">
        <v>227</v>
      </c>
      <c r="T102" s="143">
        <f>+T13</f>
        <v>0</v>
      </c>
      <c r="W102" s="142" t="s">
        <v>227</v>
      </c>
      <c r="X102" s="143">
        <f>+X13</f>
        <v>0</v>
      </c>
      <c r="AA102" s="142" t="s">
        <v>227</v>
      </c>
      <c r="AB102" s="143">
        <f>+AB13</f>
        <v>0</v>
      </c>
    </row>
    <row r="103" spans="1:29" s="138" customFormat="1" ht="11.25" x14ac:dyDescent="0.2">
      <c r="A103" s="159"/>
      <c r="B103" s="1329"/>
      <c r="C103" s="1331"/>
      <c r="D103" s="146">
        <f>+D101+D102</f>
        <v>1510</v>
      </c>
      <c r="E103" s="1252"/>
      <c r="F103" s="145"/>
      <c r="G103" s="1546"/>
      <c r="H103" s="146">
        <f>+H101+H102</f>
        <v>22127</v>
      </c>
      <c r="I103" s="1261"/>
      <c r="J103" s="144"/>
      <c r="K103" s="1546"/>
      <c r="L103" s="146">
        <f>+L101+L102</f>
        <v>22127</v>
      </c>
      <c r="M103" s="1251"/>
      <c r="O103" s="1546"/>
      <c r="P103" s="146">
        <f>+P101+P102</f>
        <v>22127</v>
      </c>
      <c r="Q103" s="1251"/>
      <c r="R103" s="140"/>
      <c r="S103" s="142"/>
      <c r="T103" s="146">
        <f>+T101+T102</f>
        <v>22031</v>
      </c>
      <c r="W103" s="142"/>
      <c r="X103" s="146">
        <f>+X101+X102</f>
        <v>22472</v>
      </c>
      <c r="AA103" s="142"/>
      <c r="AB103" s="146">
        <f>+AB101+AB102</f>
        <v>22920</v>
      </c>
    </row>
    <row r="104" spans="1:29" ht="15" customHeight="1" x14ac:dyDescent="0.25">
      <c r="A104" s="153"/>
      <c r="B104" s="1332"/>
      <c r="C104" s="1332"/>
      <c r="D104" s="5">
        <f>+D91-D103</f>
        <v>0</v>
      </c>
      <c r="E104" s="1249"/>
      <c r="F104" s="2"/>
      <c r="G104" s="1543"/>
      <c r="H104" s="5">
        <f>+H91-H103</f>
        <v>0</v>
      </c>
      <c r="K104" s="1543"/>
      <c r="L104" s="5">
        <f>+L91-L103</f>
        <v>0</v>
      </c>
      <c r="O104" s="1543"/>
      <c r="P104" s="5">
        <f>+P91-P103</f>
        <v>0</v>
      </c>
      <c r="S104" s="103"/>
      <c r="T104" s="5">
        <f>+T91-T103</f>
        <v>0</v>
      </c>
      <c r="W104" s="103"/>
      <c r="X104" s="5">
        <f>+X91-X103</f>
        <v>0</v>
      </c>
      <c r="AA104" s="103"/>
      <c r="AB104" s="5">
        <f>+AB91-AB103</f>
        <v>0</v>
      </c>
    </row>
    <row r="105" spans="1:29" x14ac:dyDescent="0.25">
      <c r="A105" s="153"/>
      <c r="B105" s="1332"/>
      <c r="C105" s="1332"/>
      <c r="D105" s="36"/>
      <c r="E105" s="1249"/>
      <c r="F105" s="2"/>
    </row>
    <row r="106" spans="1:29" x14ac:dyDescent="0.25">
      <c r="A106" s="153"/>
      <c r="B106" s="1319"/>
      <c r="C106" s="1254"/>
      <c r="D106" s="25"/>
      <c r="E106" s="1249"/>
      <c r="F106" s="2"/>
    </row>
    <row r="107" spans="1:29" x14ac:dyDescent="0.25">
      <c r="B107" s="1319"/>
      <c r="C107" s="1254"/>
      <c r="D107" s="36"/>
    </row>
    <row r="108" spans="1:29" x14ac:dyDescent="0.25">
      <c r="B108" s="1319"/>
      <c r="C108" s="1254"/>
      <c r="D108" s="36"/>
    </row>
    <row r="109" spans="1:29" ht="15" customHeight="1" x14ac:dyDescent="0.25">
      <c r="B109" s="1319"/>
      <c r="C109" s="1254"/>
      <c r="D109" s="36"/>
    </row>
    <row r="110" spans="1:29" x14ac:dyDescent="0.25">
      <c r="B110" s="1319"/>
      <c r="C110" s="1254"/>
      <c r="D110" s="36"/>
    </row>
    <row r="111" spans="1:29" x14ac:dyDescent="0.25">
      <c r="B111" s="1319"/>
      <c r="C111" s="1254"/>
      <c r="D111" s="36"/>
    </row>
    <row r="112" spans="1:29" ht="15" customHeight="1" x14ac:dyDescent="0.25">
      <c r="B112" s="2151"/>
      <c r="C112" s="2151"/>
      <c r="D112" s="36"/>
    </row>
    <row r="113" spans="2:4" x14ac:dyDescent="0.25">
      <c r="B113" s="2151"/>
      <c r="C113" s="2151"/>
      <c r="D113" s="36"/>
    </row>
    <row r="114" spans="2:4" x14ac:dyDescent="0.25">
      <c r="B114" s="1319"/>
      <c r="C114" s="1254"/>
      <c r="D114" s="6"/>
    </row>
    <row r="115" spans="2:4" x14ac:dyDescent="0.25">
      <c r="B115" s="1319"/>
      <c r="C115" s="1254"/>
      <c r="D115" s="36"/>
    </row>
    <row r="116" spans="2:4" x14ac:dyDescent="0.25">
      <c r="B116" s="1319"/>
      <c r="C116" s="1254"/>
      <c r="D116" s="36"/>
    </row>
    <row r="117" spans="2:4" ht="28.5" customHeight="1" x14ac:dyDescent="0.25">
      <c r="B117" s="1319"/>
      <c r="C117" s="1254"/>
      <c r="D117" s="25"/>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row r="127" spans="2:4" x14ac:dyDescent="0.25">
      <c r="B127" s="1319"/>
      <c r="C127" s="1254"/>
      <c r="D127" s="36"/>
    </row>
    <row r="128" spans="2:4" x14ac:dyDescent="0.25">
      <c r="B128" s="1319"/>
      <c r="C128" s="1254"/>
      <c r="D128" s="36"/>
    </row>
    <row r="129" spans="2:4" x14ac:dyDescent="0.25">
      <c r="B129" s="1319"/>
      <c r="C129" s="1254"/>
      <c r="D129" s="36"/>
    </row>
    <row r="130" spans="2:4" x14ac:dyDescent="0.25">
      <c r="B130" s="1319"/>
      <c r="C130" s="1254"/>
      <c r="D130" s="36"/>
    </row>
    <row r="131" spans="2:4" x14ac:dyDescent="0.25">
      <c r="B131" s="1319"/>
      <c r="C131" s="1254"/>
      <c r="D131" s="36"/>
    </row>
    <row r="132" spans="2:4" x14ac:dyDescent="0.25">
      <c r="B132" s="1319"/>
      <c r="C132" s="1254"/>
      <c r="D132" s="36"/>
    </row>
  </sheetData>
  <mergeCells count="1">
    <mergeCell ref="B112:C113"/>
  </mergeCells>
  <pageMargins left="0.25" right="0.25" top="0.5" bottom="0.5" header="0.25" footer="0.25"/>
  <pageSetup paperSize="5" scale="74" orientation="portrait" r:id="rId1"/>
  <headerFooter>
    <oddHeader>&amp;L&amp;F</oddHead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45"/>
  <sheetViews>
    <sheetView zoomScaleNormal="100" workbookViewId="0">
      <pane xSplit="3" ySplit="6" topLeftCell="D87"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5703125" style="1430" customWidth="1"/>
    <col min="2" max="2" width="8.5703125" style="1317" customWidth="1"/>
    <col min="3" max="3" width="18.28515625" style="1243" customWidth="1"/>
    <col min="4" max="4" width="16" style="2" customWidth="1"/>
    <col min="5" max="5" width="20" style="1243" bestFit="1" customWidth="1"/>
    <col min="6" max="6" width="6" style="39" customWidth="1"/>
    <col min="7" max="7" width="9.42578125" style="1399" bestFit="1" customWidth="1"/>
    <col min="8" max="8" width="15.85546875" style="123" customWidth="1"/>
    <col min="9" max="9" width="26" style="1254" customWidth="1"/>
    <col min="10" max="10" width="5.7109375" style="59" customWidth="1"/>
    <col min="11" max="11" width="9.42578125" style="1550" customWidth="1"/>
    <col min="12" max="12" width="15.42578125" style="124" customWidth="1"/>
    <col min="13" max="13" width="26" style="1243" customWidth="1"/>
    <col min="14" max="14" width="5.7109375" style="39" customWidth="1"/>
    <col min="15" max="15" width="9.42578125" style="1550" bestFit="1" customWidth="1"/>
    <col min="16" max="16" width="15.28515625" style="2"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240</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6500</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D4" s="36"/>
      <c r="E4" s="1254"/>
      <c r="F4" s="51"/>
      <c r="G4" s="1540"/>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1431"/>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D108</f>
        <v>0</v>
      </c>
      <c r="I7" s="1315"/>
      <c r="J7" s="60"/>
      <c r="L7" s="2">
        <f>H108</f>
        <v>0</v>
      </c>
      <c r="M7" s="1315"/>
      <c r="P7" s="2">
        <f>L108</f>
        <v>0</v>
      </c>
      <c r="Q7" s="1315"/>
      <c r="T7" s="2">
        <f>P108</f>
        <v>0</v>
      </c>
      <c r="U7" s="105"/>
      <c r="X7" s="2">
        <f>T108</f>
        <v>2410902.8100000024</v>
      </c>
      <c r="Y7" s="105"/>
      <c r="AB7" s="2">
        <f>X108</f>
        <v>-9040247.1899999976</v>
      </c>
      <c r="AC7" s="105"/>
    </row>
    <row r="8" spans="1:29" x14ac:dyDescent="0.25">
      <c r="E8" s="1315"/>
      <c r="H8" s="2"/>
      <c r="I8" s="1315"/>
      <c r="L8" s="2"/>
      <c r="M8" s="1315"/>
      <c r="Q8" s="1315"/>
      <c r="U8" s="105"/>
      <c r="Y8" s="105"/>
      <c r="AC8" s="105"/>
    </row>
    <row r="9" spans="1:29" x14ac:dyDescent="0.25">
      <c r="B9" s="1317" t="s">
        <v>52</v>
      </c>
      <c r="C9" s="1243" t="s">
        <v>243</v>
      </c>
      <c r="D9" s="2">
        <v>1041447</v>
      </c>
      <c r="E9" s="1315" t="s">
        <v>482</v>
      </c>
      <c r="G9" s="1527">
        <f>IF(D9=0,"0.00%",(H9-D9)/D9)</f>
        <v>-2.6954804229115836E-2</v>
      </c>
      <c r="H9" s="3">
        <v>1013375</v>
      </c>
      <c r="I9" s="1315" t="s">
        <v>482</v>
      </c>
      <c r="J9" s="61"/>
      <c r="K9" s="1527">
        <f>IF(H9=0,"0.00%",(L9-H9)/H9)</f>
        <v>2.1500431725669174E-2</v>
      </c>
      <c r="L9" s="2">
        <f>ROUND(H9*(+LEFT(M9,5)+1),0)</f>
        <v>1035163</v>
      </c>
      <c r="M9" s="1257" t="str">
        <f>TEXT('MYP Assumptions'!$F$44,"0.00%")&amp;" = COLA"</f>
        <v>2.15% = COLA</v>
      </c>
      <c r="O9" s="1527">
        <f>IF(L9=0,"0.00%",(P9-L9)/L9)</f>
        <v>2.3499680726610205E-2</v>
      </c>
      <c r="P9" s="2">
        <f>ROUND(L9*(+LEFT(Q9,5)+1),0)</f>
        <v>1059489</v>
      </c>
      <c r="Q9" s="1257" t="str">
        <f>TEXT('MYP Assumptions'!$G$44,"0.00%")&amp;" = COLA"</f>
        <v>2.35% = COLA</v>
      </c>
      <c r="S9" s="83">
        <f>IF(P9=0,"0.00%",(T9-P9)/P9)</f>
        <v>0</v>
      </c>
      <c r="T9" s="3">
        <f>+P9</f>
        <v>1059489</v>
      </c>
      <c r="U9" s="105" t="s">
        <v>174</v>
      </c>
      <c r="W9" s="83">
        <f>IF(T9=0,"0.00%",(X9-T9)/T9)</f>
        <v>0</v>
      </c>
      <c r="X9" s="3">
        <f>+T9</f>
        <v>1059489</v>
      </c>
      <c r="Y9" s="105" t="s">
        <v>174</v>
      </c>
      <c r="AA9" s="83">
        <f>IF(X9=0,"0.00%",(AB9-X9)/X9)</f>
        <v>0</v>
      </c>
      <c r="AB9" s="3">
        <f>+X9</f>
        <v>1059489</v>
      </c>
      <c r="AC9" s="105" t="s">
        <v>174</v>
      </c>
    </row>
    <row r="10" spans="1:29" x14ac:dyDescent="0.25">
      <c r="B10" s="1326">
        <v>8677</v>
      </c>
      <c r="C10" s="1243" t="s">
        <v>244</v>
      </c>
      <c r="D10" s="2">
        <v>453060</v>
      </c>
      <c r="E10" s="1315" t="s">
        <v>482</v>
      </c>
      <c r="G10" s="1527">
        <f t="shared" ref="G10:G12" si="0">IF(D10=0,"0.00%",(H10-D10)/D10)</f>
        <v>-0.26711914536705955</v>
      </c>
      <c r="H10" s="2">
        <v>332039</v>
      </c>
      <c r="I10" s="1315" t="s">
        <v>482</v>
      </c>
      <c r="J10" s="61"/>
      <c r="K10" s="1527">
        <f t="shared" ref="K10:K12" si="1">IF(H10=0,"0.00%",(L10-H10)/H10)</f>
        <v>2.1500486388647117E-2</v>
      </c>
      <c r="L10" s="2">
        <f>ROUND(H10*(+LEFT(M10,5)+1),0)</f>
        <v>339178</v>
      </c>
      <c r="M10" s="1257" t="str">
        <f>TEXT('MYP Assumptions'!$F$44,"0.00%")&amp;" = COLA"</f>
        <v>2.15% = COLA</v>
      </c>
      <c r="O10" s="1527">
        <f t="shared" ref="O10:O12" si="2">IF(L10=0,"0.00%",(P10-L10)/L10)</f>
        <v>2.350093461250435E-2</v>
      </c>
      <c r="P10" s="2">
        <f>ROUND(L10*(+LEFT(Q10,5)+1),0)</f>
        <v>347149</v>
      </c>
      <c r="Q10" s="1257" t="str">
        <f>TEXT('MYP Assumptions'!$G$44,"0.00%")&amp;" = COLA"</f>
        <v>2.35% = COLA</v>
      </c>
      <c r="S10" s="83"/>
      <c r="T10" s="2">
        <f>ROUND(P10*(+LEFT(U10,5)+1),0)</f>
        <v>356071</v>
      </c>
      <c r="U10" s="36" t="str">
        <f>TEXT('MYP Assumptions'!H44,"0.00%")&amp;" = COLA"</f>
        <v>2.57% = COLA</v>
      </c>
      <c r="W10" s="83"/>
      <c r="X10" s="2">
        <f>ROUND(T10*(+LEFT(Y10,5)+1),0)</f>
        <v>365542</v>
      </c>
      <c r="Y10" s="36" t="str">
        <f>TEXT('MYP Assumptions'!I44,"0.00%")&amp;" = COLA"</f>
        <v>2.66% = COLA</v>
      </c>
      <c r="AA10" s="83"/>
      <c r="AB10" s="2">
        <f>ROUND(X10*(+LEFT(AC10,5)+1),0)</f>
        <v>375265</v>
      </c>
      <c r="AC10" s="36" t="str">
        <f>TEXT('MYP Assumptions'!J44,"0.00%")&amp;" = COLA"</f>
        <v>2.66% = COLA</v>
      </c>
    </row>
    <row r="11" spans="1:29" x14ac:dyDescent="0.25">
      <c r="B11" s="1326">
        <v>8792</v>
      </c>
      <c r="C11" s="1243" t="s">
        <v>245</v>
      </c>
      <c r="D11" s="2">
        <v>3049695</v>
      </c>
      <c r="E11" s="1315" t="s">
        <v>482</v>
      </c>
      <c r="G11" s="1527">
        <f t="shared" si="0"/>
        <v>3.2011069959454963E-2</v>
      </c>
      <c r="H11" s="2">
        <v>3147319</v>
      </c>
      <c r="I11" s="1315" t="s">
        <v>482</v>
      </c>
      <c r="J11" s="61"/>
      <c r="K11" s="1527">
        <f t="shared" si="1"/>
        <v>2.1499886093529128E-2</v>
      </c>
      <c r="L11" s="2">
        <f>ROUND(H11*(+LEFT(M11,5)+1),0)</f>
        <v>3214986</v>
      </c>
      <c r="M11" s="1257" t="str">
        <f>TEXT('MYP Assumptions'!F44,"0.00%")&amp;" = COLA"</f>
        <v>2.15% = COLA</v>
      </c>
      <c r="O11" s="1527">
        <f t="shared" si="2"/>
        <v>2.3499946811587982E-2</v>
      </c>
      <c r="P11" s="2">
        <f>ROUND(L11*(+LEFT(Q11,5)+1),0)</f>
        <v>3290538</v>
      </c>
      <c r="Q11" s="1257" t="str">
        <f>TEXT('MYP Assumptions'!G44,"0.00%")&amp;" = COLA"</f>
        <v>2.35% = COLA</v>
      </c>
      <c r="S11" s="83"/>
      <c r="T11" s="2">
        <f>ROUND(P11*(+LEFT(U11,5)+1),0)</f>
        <v>3375105</v>
      </c>
      <c r="U11" s="36" t="str">
        <f>TEXT('MYP Assumptions'!H44,"0.00%")&amp;" = COLA"</f>
        <v>2.57% = COLA</v>
      </c>
      <c r="W11" s="83"/>
      <c r="X11" s="2">
        <f>ROUND(T11*(+LEFT(Y11,5)+1),0)</f>
        <v>3464883</v>
      </c>
      <c r="Y11" s="36" t="str">
        <f>TEXT('MYP Assumptions'!I44,"0.00%")&amp;" = COLA"</f>
        <v>2.66% = COLA</v>
      </c>
      <c r="AA11" s="83"/>
      <c r="AB11" s="2">
        <f>ROUND(X11*(+LEFT(AC11,5)+1),0)</f>
        <v>3557049</v>
      </c>
      <c r="AC11" s="36" t="str">
        <f>TEXT('MYP Assumptions'!J44,"0.00%")&amp;" = COLA"</f>
        <v>2.66% = COLA</v>
      </c>
    </row>
    <row r="12" spans="1:29" x14ac:dyDescent="0.25">
      <c r="B12" s="1326">
        <v>8986</v>
      </c>
      <c r="C12" s="1243" t="s">
        <v>246</v>
      </c>
      <c r="D12" s="450">
        <v>11322089</v>
      </c>
      <c r="E12" s="1882"/>
      <c r="G12" s="1527">
        <f t="shared" si="0"/>
        <v>9.1009971746380022E-2</v>
      </c>
      <c r="H12" s="163">
        <v>12352512</v>
      </c>
      <c r="I12" s="1882">
        <f>+H12-D12</f>
        <v>1030423</v>
      </c>
      <c r="J12" s="61"/>
      <c r="K12" s="1527">
        <f t="shared" si="1"/>
        <v>2.8487242109135374E-2</v>
      </c>
      <c r="L12" s="163">
        <v>12704401</v>
      </c>
      <c r="M12" s="1882">
        <f>+L12-H12</f>
        <v>351889</v>
      </c>
      <c r="O12" s="1527">
        <f t="shared" si="2"/>
        <v>3.4210664477608982E-2</v>
      </c>
      <c r="P12" s="163">
        <v>13139027</v>
      </c>
      <c r="Q12" s="1882">
        <f>+P12-L12</f>
        <v>434626</v>
      </c>
      <c r="S12" s="83"/>
      <c r="T12" s="163">
        <f>+P12*1.03</f>
        <v>13533197.810000001</v>
      </c>
      <c r="U12" s="105"/>
      <c r="W12" s="83"/>
      <c r="X12" s="163"/>
      <c r="Y12" s="105"/>
      <c r="AA12" s="83"/>
      <c r="AB12" s="163"/>
      <c r="AC12" s="105"/>
    </row>
    <row r="13" spans="1:29" ht="6" customHeight="1" x14ac:dyDescent="0.25">
      <c r="E13" s="1315"/>
      <c r="G13" s="1527"/>
      <c r="H13" s="3"/>
      <c r="I13" s="1315"/>
      <c r="J13" s="61"/>
      <c r="K13" s="1527"/>
      <c r="L13" s="3"/>
      <c r="M13" s="1315"/>
      <c r="O13" s="1527"/>
      <c r="P13" s="3">
        <f>-L2</f>
        <v>0</v>
      </c>
      <c r="Q13" s="1315"/>
      <c r="S13" s="83"/>
      <c r="T13" s="3">
        <f>-P2</f>
        <v>0</v>
      </c>
      <c r="U13" s="105"/>
      <c r="W13" s="83"/>
      <c r="X13" s="3">
        <f>-T2</f>
        <v>0</v>
      </c>
      <c r="Y13" s="105"/>
      <c r="AA13" s="83"/>
      <c r="AB13" s="3">
        <f>-X2</f>
        <v>0</v>
      </c>
      <c r="AC13" s="105"/>
    </row>
    <row r="14" spans="1:29" x14ac:dyDescent="0.25">
      <c r="B14" s="1323" t="s">
        <v>137</v>
      </c>
      <c r="D14" s="8">
        <f>SUM(D9:D13)</f>
        <v>15866291</v>
      </c>
      <c r="E14" s="1315"/>
      <c r="G14" s="1527">
        <f t="shared" ref="G14:G18" si="3">IF(D14=0,"0.00%",(H14-D14)/D14)</f>
        <v>6.1700242356578484E-2</v>
      </c>
      <c r="H14" s="8">
        <f>SUM(H9:H13)</f>
        <v>16845245</v>
      </c>
      <c r="I14" s="1882">
        <f>+H14-D14</f>
        <v>978954</v>
      </c>
      <c r="J14" s="62"/>
      <c r="K14" s="1527">
        <f>IF(H14=0,"0.00%",(L14-H14)/H14)</f>
        <v>2.6623714882152205E-2</v>
      </c>
      <c r="L14" s="8">
        <f>SUM(L9:L13)</f>
        <v>17293728</v>
      </c>
      <c r="M14" s="1882">
        <f>+L14-H14</f>
        <v>448483</v>
      </c>
      <c r="O14" s="1527">
        <f>IF(L14=0,"0.00%",(P14-L14)/L14)</f>
        <v>3.1368308788018405E-2</v>
      </c>
      <c r="P14" s="8">
        <f>SUM(P9:P13)</f>
        <v>17836203</v>
      </c>
      <c r="Q14" s="1882">
        <f>+P14-L14</f>
        <v>542475</v>
      </c>
      <c r="S14" s="83">
        <f>IF(P14=0,"0.00%",(T14-P14)/P14)</f>
        <v>2.7341010303594458E-2</v>
      </c>
      <c r="T14" s="78">
        <f>SUM(T9:T13)</f>
        <v>18323862.810000002</v>
      </c>
      <c r="U14" s="105"/>
      <c r="W14" s="83">
        <f>IF(T14=0,"0.00%",(X14-T14)/T14)</f>
        <v>-0.73313956501947863</v>
      </c>
      <c r="X14" s="78">
        <f>SUM(X9:X13)</f>
        <v>4889914</v>
      </c>
      <c r="Y14" s="105"/>
      <c r="AA14" s="83">
        <f>IF(X14=0,"0.00%",(AB14-X14)/X14)</f>
        <v>2.0836562769815582E-2</v>
      </c>
      <c r="AB14" s="78">
        <f>SUM(AB9:AB13)</f>
        <v>4991803</v>
      </c>
      <c r="AC14" s="105"/>
    </row>
    <row r="15" spans="1:29" x14ac:dyDescent="0.25">
      <c r="E15" s="1315"/>
      <c r="H15" s="3"/>
      <c r="I15" s="1315"/>
      <c r="J15" s="63"/>
      <c r="K15" s="1399"/>
      <c r="L15" s="3"/>
      <c r="M15" s="1315"/>
      <c r="O15" s="1399"/>
      <c r="P15" s="3"/>
      <c r="Q15" s="1315"/>
      <c r="S15" s="46"/>
      <c r="T15" s="44"/>
      <c r="U15" s="105"/>
      <c r="W15" s="46"/>
      <c r="X15" s="44"/>
      <c r="Y15" s="105"/>
      <c r="AA15" s="46"/>
      <c r="AB15" s="44"/>
      <c r="AC15" s="105"/>
    </row>
    <row r="16" spans="1:29" x14ac:dyDescent="0.25">
      <c r="C16" s="1325" t="s">
        <v>64</v>
      </c>
      <c r="D16" s="9">
        <v>418309</v>
      </c>
      <c r="E16" s="1426">
        <v>3.6999999999999998E-2</v>
      </c>
      <c r="G16" s="1527">
        <f t="shared" si="3"/>
        <v>0.32553925447456306</v>
      </c>
      <c r="H16" s="9">
        <f>ROUNDUP((H65+H76+SUM(H81:H92))*$I$16,0)</f>
        <v>554485</v>
      </c>
      <c r="I16" s="1411">
        <v>4.4400000000000002E-2</v>
      </c>
      <c r="J16" s="64"/>
      <c r="K16" s="1527">
        <f>IF(H16=0,"0.00%",(L16-H16)/H16)</f>
        <v>3.5229086449588359E-2</v>
      </c>
      <c r="L16" s="9">
        <f>ROUNDUP((L65+L76+SUM(L81:L92))*$I$16,0)</f>
        <v>574019</v>
      </c>
      <c r="M16" s="1411">
        <v>4.4400000000000002E-2</v>
      </c>
      <c r="O16" s="1527">
        <f>IF(L16=0,"0.00%",(P16-L16)/L16)</f>
        <v>4.0176370468573343E-2</v>
      </c>
      <c r="P16" s="9">
        <f>ROUNDUP((P65+P76+SUM(P81:P92))*$I$16,0)</f>
        <v>597081</v>
      </c>
      <c r="Q16" s="1411">
        <v>4.4400000000000002E-2</v>
      </c>
      <c r="S16" s="83">
        <f>IF(P16=0,"0.00%",(T16-P16)/P16)</f>
        <v>-0.22547862015371448</v>
      </c>
      <c r="T16" s="77">
        <f>ROUNDUP((T65+T76+SUM(T81:T92))*$E$16,0)</f>
        <v>462452</v>
      </c>
      <c r="U16" s="105"/>
      <c r="W16" s="83">
        <f>IF(T16=0,"0.00%",(X16-T16)/T16)</f>
        <v>2.800506863415014E-2</v>
      </c>
      <c r="X16" s="77">
        <f>ROUNDUP((X65+X76+SUM(X81:X92))*$E$16,0)</f>
        <v>475403</v>
      </c>
      <c r="Y16" s="105"/>
      <c r="AA16" s="83">
        <f>IF(X16=0,"0.00%",(AB16-X16)/X16)</f>
        <v>2.6617417222861445E-2</v>
      </c>
      <c r="AB16" s="77">
        <f>ROUNDUP((AB65+AB76+SUM(AB81:AB92))*$E$16,0)</f>
        <v>488057</v>
      </c>
      <c r="AC16" s="105"/>
    </row>
    <row r="17" spans="1:29" x14ac:dyDescent="0.25">
      <c r="E17" s="1315"/>
      <c r="H17" s="3"/>
      <c r="I17" s="1315"/>
      <c r="J17" s="63"/>
      <c r="K17" s="1399"/>
      <c r="L17" s="3"/>
      <c r="M17" s="1315"/>
      <c r="O17" s="1399"/>
      <c r="P17" s="3"/>
      <c r="Q17" s="1315"/>
      <c r="S17" s="46"/>
      <c r="T17" s="44"/>
      <c r="U17" s="105"/>
      <c r="W17" s="46"/>
      <c r="X17" s="44"/>
      <c r="Y17" s="105"/>
      <c r="AA17" s="46"/>
      <c r="AB17" s="44"/>
      <c r="AC17" s="105"/>
    </row>
    <row r="18" spans="1:29" x14ac:dyDescent="0.25">
      <c r="B18" s="1323" t="s">
        <v>50</v>
      </c>
      <c r="D18" s="10">
        <f>D14-D16</f>
        <v>15447982</v>
      </c>
      <c r="E18" s="1315"/>
      <c r="G18" s="1527">
        <f t="shared" si="3"/>
        <v>5.4555863672031725E-2</v>
      </c>
      <c r="H18" s="9">
        <f>H14-H16</f>
        <v>16290760</v>
      </c>
      <c r="I18" s="1882">
        <f>+H18-D18</f>
        <v>842778</v>
      </c>
      <c r="J18" s="62"/>
      <c r="K18" s="1527">
        <f>IF(H18=0,"0.00%",(L18-H18)/H18)</f>
        <v>2.6330815750769149E-2</v>
      </c>
      <c r="L18" s="9">
        <f>L14-L16</f>
        <v>16719709</v>
      </c>
      <c r="M18" s="1882">
        <f>+L18-H18</f>
        <v>428949</v>
      </c>
      <c r="O18" s="1527">
        <f>IF(L18=0,"0.00%",(P18-L18)/L18)</f>
        <v>3.1065911494033777E-2</v>
      </c>
      <c r="P18" s="9">
        <f>P14-P16</f>
        <v>17239122</v>
      </c>
      <c r="Q18" s="1882">
        <f>+P18-L18</f>
        <v>519413</v>
      </c>
      <c r="S18" s="83">
        <f>IF(P18=0,"0.00%",(T18-P18)/P18)</f>
        <v>3.6097477006079681E-2</v>
      </c>
      <c r="T18" s="19">
        <f>T14-T16</f>
        <v>17861410.810000002</v>
      </c>
      <c r="U18" s="105"/>
      <c r="W18" s="83">
        <f>IF(T18=0,"0.00%",(X18-T18)/T18)</f>
        <v>-0.75284645502199277</v>
      </c>
      <c r="X18" s="19">
        <f>X14-X16</f>
        <v>4414511</v>
      </c>
      <c r="Y18" s="105"/>
      <c r="AA18" s="83">
        <f>IF(X18=0,"0.00%",(AB18-X18)/X18)</f>
        <v>2.0214016909234113E-2</v>
      </c>
      <c r="AB18" s="19">
        <f>AB14-AB16</f>
        <v>4503746</v>
      </c>
      <c r="AC18" s="105"/>
    </row>
    <row r="19" spans="1:29" x14ac:dyDescent="0.25">
      <c r="E19" s="1315"/>
      <c r="H19" s="3"/>
      <c r="I19" s="1339"/>
      <c r="J19" s="62"/>
      <c r="L19" s="3"/>
      <c r="M19" s="1339"/>
      <c r="P19" s="3"/>
      <c r="Q19" s="1339"/>
      <c r="T19" s="49"/>
      <c r="U19" s="105"/>
      <c r="X19" s="49"/>
      <c r="Y19" s="105"/>
      <c r="AB19" s="49"/>
      <c r="AC19" s="105"/>
    </row>
    <row r="20" spans="1:29" x14ac:dyDescent="0.25">
      <c r="C20" s="1317"/>
      <c r="E20" s="1315"/>
      <c r="H20" s="3"/>
      <c r="I20" s="1315"/>
      <c r="J20" s="63"/>
      <c r="L20" s="3"/>
      <c r="M20" s="1315"/>
      <c r="P20" s="3"/>
      <c r="Q20" s="1315"/>
      <c r="T20" s="44"/>
      <c r="U20" s="105"/>
      <c r="X20" s="44"/>
      <c r="Y20" s="105"/>
      <c r="AB20" s="44"/>
      <c r="AC20" s="105"/>
    </row>
    <row r="21" spans="1:29" x14ac:dyDescent="0.25">
      <c r="A21" s="1245"/>
      <c r="D21" s="29" t="s">
        <v>874</v>
      </c>
      <c r="E21" s="1316"/>
      <c r="F21" s="32"/>
      <c r="H21" s="29" t="s">
        <v>177</v>
      </c>
      <c r="I21" s="1340"/>
      <c r="J21" s="65"/>
      <c r="M21" s="1316"/>
      <c r="Q21" s="1316"/>
      <c r="U21" s="106"/>
      <c r="Y21" s="106"/>
      <c r="AC21" s="106"/>
    </row>
    <row r="22" spans="1:29" ht="17.25" x14ac:dyDescent="0.4">
      <c r="A22" s="1432"/>
      <c r="D22" s="35" t="s">
        <v>875</v>
      </c>
      <c r="E22" s="1246"/>
      <c r="F22" s="34"/>
      <c r="H22" s="35" t="s">
        <v>48</v>
      </c>
      <c r="I22" s="1397"/>
      <c r="J22" s="29"/>
      <c r="L22" s="14" t="s">
        <v>48</v>
      </c>
      <c r="M22" s="1526">
        <v>1.4999999999999999E-2</v>
      </c>
      <c r="P22" s="14" t="s">
        <v>48</v>
      </c>
      <c r="Q22" s="1526">
        <v>1.4999999999999999E-2</v>
      </c>
      <c r="T22" s="14" t="s">
        <v>48</v>
      </c>
      <c r="U22" s="104">
        <v>0.02</v>
      </c>
      <c r="X22" s="14" t="s">
        <v>48</v>
      </c>
      <c r="Y22" s="104">
        <v>0.02</v>
      </c>
      <c r="AB22" s="14" t="s">
        <v>48</v>
      </c>
      <c r="AC22" s="104">
        <v>0.02</v>
      </c>
    </row>
    <row r="23" spans="1:29" s="13" customFormat="1" x14ac:dyDescent="0.25">
      <c r="A23" s="1433"/>
      <c r="B23" s="1323" t="s">
        <v>46</v>
      </c>
      <c r="C23" s="1325"/>
      <c r="D23" s="10"/>
      <c r="E23" s="1247"/>
      <c r="F23" s="10"/>
      <c r="G23" s="1538"/>
      <c r="H23" s="10"/>
      <c r="I23" s="1250"/>
      <c r="J23" s="57"/>
      <c r="K23" s="1570"/>
      <c r="L23" s="10"/>
      <c r="M23" s="1334"/>
      <c r="O23" s="1570"/>
      <c r="P23" s="10"/>
      <c r="Q23" s="1334"/>
      <c r="R23" s="111"/>
      <c r="T23" s="10"/>
      <c r="U23" s="74"/>
      <c r="X23" s="10"/>
      <c r="Y23" s="74"/>
      <c r="AB23" s="10"/>
      <c r="AC23" s="74"/>
    </row>
    <row r="24" spans="1:29" x14ac:dyDescent="0.25">
      <c r="A24" s="1434"/>
      <c r="B24" s="1326">
        <v>1101</v>
      </c>
      <c r="C24" s="1243" t="s">
        <v>247</v>
      </c>
      <c r="D24" s="2">
        <v>5148</v>
      </c>
      <c r="E24" s="1249"/>
      <c r="F24" s="2"/>
      <c r="G24" s="1527">
        <f>IF(D24=0," - ",(H24-D24)/D24)</f>
        <v>-1</v>
      </c>
      <c r="H24" s="2">
        <v>0</v>
      </c>
      <c r="I24" s="1257"/>
      <c r="J24" s="66"/>
      <c r="K24" s="1527" t="str">
        <f>IF(H24=0," - ",(L24-H24)/H24)</f>
        <v xml:space="preserve"> - </v>
      </c>
      <c r="L24" s="2">
        <f>ROUND(H24*(1+$M$22),0)</f>
        <v>0</v>
      </c>
      <c r="M24" s="1257" t="str">
        <f>TEXT($M$22,"0.0%")&amp;" = Est. S &amp; C"</f>
        <v>1.5% = Est. S &amp; C</v>
      </c>
      <c r="O24" s="1527" t="str">
        <f>IF(L24=0," - ",(P24-L24)/L24)</f>
        <v xml:space="preserve"> - </v>
      </c>
      <c r="P24" s="2">
        <f>ROUND(L24*(1+$M$22),0)</f>
        <v>0</v>
      </c>
      <c r="Q24" s="1257" t="str">
        <f>TEXT($M$22,"0.0%")&amp;" = Est. S &amp; C"</f>
        <v>1.5% = Est. S &amp; C</v>
      </c>
      <c r="S24" s="83" t="str">
        <f t="shared" ref="S24:S30" si="4">IF(P24=0,"0.00%",(T24-P24)/P24)</f>
        <v>0.00%</v>
      </c>
      <c r="T24" s="2">
        <f>ROUND(P24*(1+U22),0)</f>
        <v>0</v>
      </c>
      <c r="U24" s="36" t="str">
        <f>TEXT(U22,"0.0%")&amp;" = Est. S &amp; C"</f>
        <v>2.0% = Est. S &amp; C</v>
      </c>
      <c r="W24" s="83" t="str">
        <f t="shared" ref="W24:W30" si="5">IF(T24=0,"0.00%",(X24-T24)/T24)</f>
        <v>0.00%</v>
      </c>
      <c r="X24" s="2">
        <f>ROUND(T24*(1+Y22),0)</f>
        <v>0</v>
      </c>
      <c r="Y24" s="36" t="str">
        <f>TEXT(Y22,"0.0%")&amp;" = Est. S &amp; C"</f>
        <v>2.0% = Est. S &amp; C</v>
      </c>
      <c r="AA24" s="83" t="str">
        <f t="shared" ref="AA24:AA30" si="6">IF(X24=0,"0.00%",(AB24-X24)/X24)</f>
        <v>0.00%</v>
      </c>
      <c r="AB24" s="2">
        <f>ROUND(X24*(1+AC22),0)</f>
        <v>0</v>
      </c>
      <c r="AC24" s="36" t="str">
        <f>TEXT(AC22,"0.0%")&amp;" = Est. S &amp; C"</f>
        <v>2.0% = Est. S &amp; C</v>
      </c>
    </row>
    <row r="25" spans="1:29" x14ac:dyDescent="0.25">
      <c r="A25" s="1434"/>
      <c r="B25" s="1326">
        <v>1104</v>
      </c>
      <c r="C25" s="1243" t="s">
        <v>887</v>
      </c>
      <c r="D25" s="2">
        <v>236060</v>
      </c>
      <c r="E25" s="1249"/>
      <c r="F25" s="2"/>
      <c r="G25" s="1527">
        <f t="shared" ref="G25:G40" si="7">IF(D25=0," - ",(H25-D25)/D25)</f>
        <v>1.9024824197237989E-2</v>
      </c>
      <c r="H25" s="2">
        <v>240551</v>
      </c>
      <c r="I25" s="1257"/>
      <c r="J25" s="66"/>
      <c r="K25" s="1527">
        <f t="shared" ref="K25:K40" si="8">IF(H25=0," - ",(L25-H25)/H25)</f>
        <v>1.4998898362509406E-2</v>
      </c>
      <c r="L25" s="2">
        <f t="shared" ref="L25:L38" si="9">ROUND(H25*(1+$M$22),0)</f>
        <v>244159</v>
      </c>
      <c r="M25" s="1257" t="str">
        <f t="shared" ref="M25:M37" si="10">TEXT($M$22,"0.0%")&amp;" = Est. S &amp; C"</f>
        <v>1.5% = Est. S &amp; C</v>
      </c>
      <c r="O25" s="1527">
        <f t="shared" ref="O25:O38" si="11">IF(L25=0," - ",(P25-L25)/L25)</f>
        <v>1.4998423158679386E-2</v>
      </c>
      <c r="P25" s="2">
        <f t="shared" ref="P25:P38" si="12">ROUND(L25*(1+$M$22),0)</f>
        <v>247821</v>
      </c>
      <c r="Q25" s="1257" t="str">
        <f t="shared" ref="Q25:Q37" si="13">TEXT($M$22,"0.0%")&amp;" = Est. S &amp; C"</f>
        <v>1.5% = Est. S &amp; C</v>
      </c>
      <c r="S25" s="83">
        <f t="shared" si="4"/>
        <v>0</v>
      </c>
      <c r="T25" s="2">
        <f>+P25</f>
        <v>247821</v>
      </c>
      <c r="U25" s="36" t="s">
        <v>174</v>
      </c>
      <c r="W25" s="83">
        <f t="shared" si="5"/>
        <v>1.9998305228370476E-2</v>
      </c>
      <c r="X25" s="2">
        <f>ROUND(T25*(1+Y22),0)</f>
        <v>252777</v>
      </c>
      <c r="Y25" s="36" t="str">
        <f>TEXT(Y22,"0.0%")&amp;" = Est. S &amp; C"</f>
        <v>2.0% = Est. S &amp; C</v>
      </c>
      <c r="AA25" s="83">
        <f t="shared" si="6"/>
        <v>2.0001819785819122E-2</v>
      </c>
      <c r="AB25" s="2">
        <f>ROUND(X25*(1+AC22),0)</f>
        <v>257833</v>
      </c>
      <c r="AC25" s="36" t="str">
        <f>TEXT(AC22,"0.0%")&amp;" = Est. S &amp; C"</f>
        <v>2.0% = Est. S &amp; C</v>
      </c>
    </row>
    <row r="26" spans="1:29" x14ac:dyDescent="0.25">
      <c r="A26" s="1434"/>
      <c r="B26" s="1326">
        <v>1106</v>
      </c>
      <c r="C26" s="1243" t="s">
        <v>888</v>
      </c>
      <c r="D26" s="2">
        <v>1091469</v>
      </c>
      <c r="E26" s="1249"/>
      <c r="F26" s="2"/>
      <c r="G26" s="1527">
        <f t="shared" si="7"/>
        <v>4.7541432693003649E-2</v>
      </c>
      <c r="H26" s="2">
        <v>1143359</v>
      </c>
      <c r="I26" s="1257"/>
      <c r="J26" s="66"/>
      <c r="K26" s="1527">
        <f t="shared" si="8"/>
        <v>1.4999663272865303E-2</v>
      </c>
      <c r="L26" s="2">
        <f t="shared" si="9"/>
        <v>1160509</v>
      </c>
      <c r="M26" s="1257" t="str">
        <f t="shared" si="10"/>
        <v>1.5% = Est. S &amp; C</v>
      </c>
      <c r="O26" s="1527">
        <f t="shared" si="11"/>
        <v>1.5000314517164451E-2</v>
      </c>
      <c r="P26" s="2">
        <f t="shared" si="12"/>
        <v>1177917</v>
      </c>
      <c r="Q26" s="1257" t="str">
        <f t="shared" si="13"/>
        <v>1.5% = Est. S &amp; C</v>
      </c>
      <c r="S26" s="83">
        <f t="shared" si="4"/>
        <v>1.9999711354874748E-2</v>
      </c>
      <c r="T26" s="2">
        <f>ROUND(P26*(1+U22),0)</f>
        <v>1201475</v>
      </c>
      <c r="U26" s="36" t="str">
        <f>TEXT(U22,"0.0%")&amp;" = Est. S &amp; C"</f>
        <v>2.0% = Est. S &amp; C</v>
      </c>
      <c r="W26" s="83">
        <f t="shared" si="5"/>
        <v>2.0000416155142638E-2</v>
      </c>
      <c r="X26" s="2">
        <f>ROUND(T26*(1+Y22),0)</f>
        <v>1225505</v>
      </c>
      <c r="Y26" s="36" t="str">
        <f>TEXT(Y22,"0.0%")&amp;" = Est. S &amp; C"</f>
        <v>2.0% = Est. S &amp; C</v>
      </c>
      <c r="AA26" s="83">
        <f t="shared" si="6"/>
        <v>1.9999918400985715E-2</v>
      </c>
      <c r="AB26" s="2">
        <f>ROUND(X26*(1+AC22),0)</f>
        <v>1250015</v>
      </c>
      <c r="AC26" s="36" t="str">
        <f>TEXT(AC22,"0.0%")&amp;" = Est. S &amp; C"</f>
        <v>2.0% = Est. S &amp; C</v>
      </c>
    </row>
    <row r="27" spans="1:29" x14ac:dyDescent="0.25">
      <c r="A27" s="1434"/>
      <c r="B27" s="1326">
        <v>1108</v>
      </c>
      <c r="C27" s="1243" t="s">
        <v>889</v>
      </c>
      <c r="D27" s="2">
        <v>1326156</v>
      </c>
      <c r="E27" s="1249"/>
      <c r="F27" s="2"/>
      <c r="G27" s="1527">
        <f t="shared" si="7"/>
        <v>4.8279387945309601E-2</v>
      </c>
      <c r="H27" s="2">
        <v>1390182</v>
      </c>
      <c r="I27" s="1257"/>
      <c r="J27" s="66"/>
      <c r="K27" s="1527">
        <f t="shared" si="8"/>
        <v>1.500019421917418E-2</v>
      </c>
      <c r="L27" s="2">
        <f t="shared" si="9"/>
        <v>1411035</v>
      </c>
      <c r="M27" s="1257" t="str">
        <f t="shared" si="10"/>
        <v>1.5% = Est. S &amp; C</v>
      </c>
      <c r="O27" s="1527">
        <f t="shared" si="11"/>
        <v>1.5000336632330169E-2</v>
      </c>
      <c r="P27" s="2">
        <f t="shared" si="12"/>
        <v>1432201</v>
      </c>
      <c r="Q27" s="1257" t="str">
        <f t="shared" si="13"/>
        <v>1.5% = Est. S &amp; C</v>
      </c>
      <c r="S27" s="83">
        <f t="shared" si="4"/>
        <v>1.9999986035479658E-2</v>
      </c>
      <c r="T27" s="2">
        <f>ROUND(P27*(1+U22),0)</f>
        <v>1460845</v>
      </c>
      <c r="U27" s="36" t="str">
        <f>TEXT(U22,"0.0%")&amp;" = Est. S &amp; C"</f>
        <v>2.0% = Est. S &amp; C</v>
      </c>
      <c r="W27" s="83">
        <f t="shared" si="5"/>
        <v>2.0000068453532031E-2</v>
      </c>
      <c r="X27" s="2">
        <f>ROUND(T27*(1+Y22),0)</f>
        <v>1490062</v>
      </c>
      <c r="Y27" s="36" t="str">
        <f>TEXT(Y22,"0.0%")&amp;" = Est. S &amp; C"</f>
        <v>2.0% = Est. S &amp; C</v>
      </c>
      <c r="AA27" s="83">
        <f t="shared" si="6"/>
        <v>1.9999838932876619E-2</v>
      </c>
      <c r="AB27" s="2">
        <f>ROUND(X27*(1+AC22),0)</f>
        <v>1519863</v>
      </c>
      <c r="AC27" s="36" t="str">
        <f>TEXT(AC22,"0.0%")&amp;" = Est. S &amp; C"</f>
        <v>2.0% = Est. S &amp; C</v>
      </c>
    </row>
    <row r="28" spans="1:29" x14ac:dyDescent="0.25">
      <c r="A28" s="1434"/>
      <c r="B28" s="1326">
        <v>1109</v>
      </c>
      <c r="C28" s="1243" t="s">
        <v>890</v>
      </c>
      <c r="D28" s="2">
        <v>99199</v>
      </c>
      <c r="E28" s="1249"/>
      <c r="F28" s="2"/>
      <c r="G28" s="1527">
        <f t="shared" si="7"/>
        <v>0.54802971804151257</v>
      </c>
      <c r="H28" s="2">
        <v>153563</v>
      </c>
      <c r="I28" s="1257"/>
      <c r="J28" s="66"/>
      <c r="K28" s="1527">
        <f t="shared" si="8"/>
        <v>1.4997102166537513E-2</v>
      </c>
      <c r="L28" s="2">
        <f t="shared" si="9"/>
        <v>155866</v>
      </c>
      <c r="M28" s="1257" t="str">
        <f t="shared" si="10"/>
        <v>1.5% = Est. S &amp; C</v>
      </c>
      <c r="O28" s="1527">
        <f t="shared" si="11"/>
        <v>1.5000064157673899E-2</v>
      </c>
      <c r="P28" s="2">
        <f t="shared" si="12"/>
        <v>158204</v>
      </c>
      <c r="Q28" s="1257" t="str">
        <f t="shared" si="13"/>
        <v>1.5% = Est. S &amp; C</v>
      </c>
      <c r="S28" s="83">
        <f t="shared" si="4"/>
        <v>1.9999494323784481E-2</v>
      </c>
      <c r="T28" s="2">
        <f>ROUND(P28*(1+U22),0)</f>
        <v>161368</v>
      </c>
      <c r="U28" s="36" t="str">
        <f>TEXT(U22,"0.0%")&amp;" = Est. S &amp; C"</f>
        <v>2.0% = Est. S &amp; C</v>
      </c>
      <c r="W28" s="83">
        <f t="shared" si="5"/>
        <v>1.9997769074413762E-2</v>
      </c>
      <c r="X28" s="2">
        <f>ROUND(T28*(1+Y22),0)</f>
        <v>164595</v>
      </c>
      <c r="Y28" s="36" t="str">
        <f>TEXT(Y22,"0.0%")&amp;" = Est. S &amp; C"</f>
        <v>2.0% = Est. S &amp; C</v>
      </c>
      <c r="AA28" s="83">
        <f t="shared" si="6"/>
        <v>2.0000607551869741E-2</v>
      </c>
      <c r="AB28" s="2">
        <f>ROUND(X28*(1+AC22),0)</f>
        <v>167887</v>
      </c>
      <c r="AC28" s="36" t="str">
        <f>TEXT(AC22,"0.0%")&amp;" = Est. S &amp; C"</f>
        <v>2.0% = Est. S &amp; C</v>
      </c>
    </row>
    <row r="29" spans="1:29" x14ac:dyDescent="0.25">
      <c r="A29" s="1434"/>
      <c r="B29" s="1326">
        <v>1117</v>
      </c>
      <c r="C29" s="1243" t="s">
        <v>891</v>
      </c>
      <c r="D29" s="2">
        <v>1912126</v>
      </c>
      <c r="E29" s="1249"/>
      <c r="F29" s="2"/>
      <c r="G29" s="1527">
        <f t="shared" si="7"/>
        <v>2.7095494752960841E-2</v>
      </c>
      <c r="H29" s="2">
        <v>1963936</v>
      </c>
      <c r="I29" s="1257"/>
      <c r="J29" s="66"/>
      <c r="K29" s="1527">
        <f t="shared" si="8"/>
        <v>1.4999979632737522E-2</v>
      </c>
      <c r="L29" s="2">
        <f t="shared" si="9"/>
        <v>1993395</v>
      </c>
      <c r="M29" s="1257" t="str">
        <f t="shared" si="10"/>
        <v>1.5% = Est. S &amp; C</v>
      </c>
      <c r="O29" s="1527">
        <f t="shared" si="11"/>
        <v>1.5000037624254099E-2</v>
      </c>
      <c r="P29" s="2">
        <f t="shared" si="12"/>
        <v>2023296</v>
      </c>
      <c r="Q29" s="1257" t="str">
        <f t="shared" si="13"/>
        <v>1.5% = Est. S &amp; C</v>
      </c>
      <c r="S29" s="83">
        <f t="shared" si="4"/>
        <v>0</v>
      </c>
      <c r="T29" s="2">
        <f>+P29</f>
        <v>2023296</v>
      </c>
      <c r="U29" s="36" t="s">
        <v>174</v>
      </c>
      <c r="W29" s="83">
        <f t="shared" si="5"/>
        <v>2.0000039539444549E-2</v>
      </c>
      <c r="X29" s="2">
        <f>ROUND(T29*(1+Y22),0)</f>
        <v>2063762</v>
      </c>
      <c r="Y29" s="36" t="str">
        <f>TEXT(Y22,"0.0%")&amp;" = Est. S &amp; C"</f>
        <v>2.0% = Est. S &amp; C</v>
      </c>
      <c r="AA29" s="83">
        <f t="shared" si="6"/>
        <v>1.9999883707520538E-2</v>
      </c>
      <c r="AB29" s="2">
        <f>ROUND(X29*(1+AC22),0)</f>
        <v>2105037</v>
      </c>
      <c r="AC29" s="36" t="str">
        <f>TEXT(AC22,"0.0%")&amp;" = Est. S &amp; C"</f>
        <v>2.0% = Est. S &amp; C</v>
      </c>
    </row>
    <row r="30" spans="1:29" x14ac:dyDescent="0.25">
      <c r="A30" s="1434"/>
      <c r="B30" s="1326">
        <v>1118</v>
      </c>
      <c r="C30" s="1243" t="s">
        <v>892</v>
      </c>
      <c r="D30" s="2">
        <v>8431</v>
      </c>
      <c r="E30" s="1249"/>
      <c r="F30" s="2"/>
      <c r="G30" s="1527">
        <f t="shared" si="7"/>
        <v>0.18609892064998221</v>
      </c>
      <c r="H30" s="2">
        <v>10000</v>
      </c>
      <c r="I30" s="1257"/>
      <c r="J30" s="66"/>
      <c r="K30" s="1527">
        <f t="shared" si="8"/>
        <v>1.4999999999999999E-2</v>
      </c>
      <c r="L30" s="2">
        <f t="shared" si="9"/>
        <v>10150</v>
      </c>
      <c r="M30" s="1257" t="str">
        <f t="shared" si="10"/>
        <v>1.5% = Est. S &amp; C</v>
      </c>
      <c r="O30" s="1527">
        <f t="shared" si="11"/>
        <v>1.4975369458128079E-2</v>
      </c>
      <c r="P30" s="2">
        <f t="shared" si="12"/>
        <v>10302</v>
      </c>
      <c r="Q30" s="1257" t="str">
        <f t="shared" si="13"/>
        <v>1.5% = Est. S &amp; C</v>
      </c>
      <c r="S30" s="83">
        <f t="shared" si="4"/>
        <v>1.9996117258784703E-2</v>
      </c>
      <c r="T30" s="2">
        <f>ROUND(P30*(1+U22),0)</f>
        <v>10508</v>
      </c>
      <c r="U30" s="36" t="str">
        <f>TEXT(U22,"0.0%")&amp;" = Est. S &amp; C"</f>
        <v>2.0% = Est. S &amp; C</v>
      </c>
      <c r="W30" s="83">
        <f t="shared" si="5"/>
        <v>1.9984773505900267E-2</v>
      </c>
      <c r="X30" s="2">
        <f>ROUND(T30*(1+Y22),0)</f>
        <v>10718</v>
      </c>
      <c r="Y30" s="36" t="str">
        <f>TEXT(Y22,"0.0%")&amp;" = Est. S &amp; C"</f>
        <v>2.0% = Est. S &amp; C</v>
      </c>
      <c r="AA30" s="83">
        <f t="shared" si="6"/>
        <v>1.9966411643963428E-2</v>
      </c>
      <c r="AB30" s="2">
        <f>ROUND(X30*(1+AC22),0)</f>
        <v>10932</v>
      </c>
      <c r="AC30" s="36" t="str">
        <f>TEXT(AC22,"0.0%")&amp;" = Est. S &amp; C"</f>
        <v>2.0% = Est. S &amp; C</v>
      </c>
    </row>
    <row r="31" spans="1:29" x14ac:dyDescent="0.25">
      <c r="A31" s="1434"/>
      <c r="B31" s="1326">
        <v>1112</v>
      </c>
      <c r="C31" s="1243" t="s">
        <v>845</v>
      </c>
      <c r="D31" s="2">
        <v>3000</v>
      </c>
      <c r="E31" s="1249"/>
      <c r="F31" s="2"/>
      <c r="G31" s="1527">
        <f t="shared" si="7"/>
        <v>-1</v>
      </c>
      <c r="H31" s="2">
        <v>0</v>
      </c>
      <c r="I31" s="1257"/>
      <c r="J31" s="66"/>
      <c r="K31" s="1527" t="str">
        <f t="shared" si="8"/>
        <v xml:space="preserve"> - </v>
      </c>
      <c r="L31" s="2">
        <f t="shared" si="9"/>
        <v>0</v>
      </c>
      <c r="M31" s="1257" t="str">
        <f t="shared" si="10"/>
        <v>1.5% = Est. S &amp; C</v>
      </c>
      <c r="O31" s="1527" t="str">
        <f t="shared" si="11"/>
        <v xml:space="preserve"> - </v>
      </c>
      <c r="P31" s="2">
        <f t="shared" si="12"/>
        <v>0</v>
      </c>
      <c r="Q31" s="1257" t="str">
        <f t="shared" si="13"/>
        <v>1.5% = Est. S &amp; C</v>
      </c>
      <c r="S31" s="83"/>
      <c r="T31" s="2"/>
      <c r="U31" s="36"/>
      <c r="W31" s="83"/>
      <c r="X31" s="2"/>
      <c r="Y31" s="36"/>
      <c r="AA31" s="83"/>
      <c r="AB31" s="2"/>
      <c r="AC31" s="36"/>
    </row>
    <row r="32" spans="1:29" x14ac:dyDescent="0.25">
      <c r="A32" s="1434"/>
      <c r="B32" s="1326">
        <v>1181</v>
      </c>
      <c r="C32" s="1243" t="s">
        <v>419</v>
      </c>
      <c r="D32" s="2">
        <v>54345</v>
      </c>
      <c r="E32" s="1249"/>
      <c r="F32" s="2"/>
      <c r="G32" s="1527">
        <f t="shared" si="7"/>
        <v>0.26230563989327443</v>
      </c>
      <c r="H32" s="2">
        <v>68600</v>
      </c>
      <c r="I32" s="1240"/>
      <c r="J32" s="66"/>
      <c r="K32" s="1527">
        <f t="shared" si="8"/>
        <v>0</v>
      </c>
      <c r="L32" s="2">
        <f>+H32</f>
        <v>68600</v>
      </c>
      <c r="M32" s="1257" t="s">
        <v>174</v>
      </c>
      <c r="O32" s="1527">
        <f t="shared" si="11"/>
        <v>0</v>
      </c>
      <c r="P32" s="2">
        <f>+L32</f>
        <v>68600</v>
      </c>
      <c r="Q32" s="1257" t="s">
        <v>174</v>
      </c>
      <c r="S32" s="83">
        <f>IF(P32=0,"0.00%",(T32-P32)/P32)</f>
        <v>0</v>
      </c>
      <c r="T32" s="2">
        <f>ROUND(P32*(1+U23),0)</f>
        <v>68600</v>
      </c>
      <c r="U32" s="36" t="str">
        <f>TEXT(U23,"0.0%")&amp;" = Est. S &amp; C"</f>
        <v>0.0% = Est. S &amp; C</v>
      </c>
      <c r="W32" s="83">
        <f>IF(T32=0,"0.00%",(X32-T32)/T32)</f>
        <v>0</v>
      </c>
      <c r="X32" s="2">
        <f>ROUND(T32*(1+Y23),0)</f>
        <v>68600</v>
      </c>
      <c r="Y32" s="36" t="str">
        <f>TEXT(Y23,"0.0%")&amp;" = Est. S &amp; C"</f>
        <v>0.0% = Est. S &amp; C</v>
      </c>
      <c r="AA32" s="83">
        <f>IF(X32=0,"0.00%",(AB32-X32)/X32)</f>
        <v>0</v>
      </c>
      <c r="AB32" s="2">
        <f>ROUND(X32*(1+AC23),0)</f>
        <v>68600</v>
      </c>
      <c r="AC32" s="36" t="str">
        <f>TEXT(AC23,"0.0%")&amp;" = Est. S &amp; C"</f>
        <v>0.0% = Est. S &amp; C</v>
      </c>
    </row>
    <row r="33" spans="1:29" x14ac:dyDescent="0.25">
      <c r="A33" s="1434"/>
      <c r="B33" s="1326">
        <v>1203</v>
      </c>
      <c r="C33" s="1243" t="s">
        <v>893</v>
      </c>
      <c r="D33" s="2">
        <v>242753</v>
      </c>
      <c r="E33" s="1249"/>
      <c r="F33" s="2"/>
      <c r="G33" s="1527">
        <f t="shared" si="7"/>
        <v>0.19516957565920914</v>
      </c>
      <c r="H33" s="2">
        <v>290131</v>
      </c>
      <c r="I33" s="1240"/>
      <c r="J33" s="66"/>
      <c r="K33" s="1527">
        <f t="shared" si="8"/>
        <v>1.5000120635161358E-2</v>
      </c>
      <c r="L33" s="2">
        <f t="shared" si="9"/>
        <v>294483</v>
      </c>
      <c r="M33" s="1257" t="str">
        <f t="shared" si="10"/>
        <v>1.5% = Est. S &amp; C</v>
      </c>
      <c r="O33" s="1527">
        <f t="shared" si="11"/>
        <v>1.4999168033468825E-2</v>
      </c>
      <c r="P33" s="2">
        <f t="shared" si="12"/>
        <v>298900</v>
      </c>
      <c r="Q33" s="1257" t="str">
        <f t="shared" si="13"/>
        <v>1.5% = Est. S &amp; C</v>
      </c>
      <c r="S33" s="83"/>
      <c r="T33" s="2"/>
      <c r="U33" s="36"/>
      <c r="W33" s="83"/>
      <c r="X33" s="2"/>
      <c r="Y33" s="36"/>
      <c r="AA33" s="83"/>
      <c r="AB33" s="2"/>
      <c r="AC33" s="36"/>
    </row>
    <row r="34" spans="1:29" x14ac:dyDescent="0.25">
      <c r="A34" s="1434"/>
      <c r="B34" s="1326">
        <v>1206</v>
      </c>
      <c r="C34" s="1243" t="s">
        <v>894</v>
      </c>
      <c r="D34" s="2">
        <v>218844</v>
      </c>
      <c r="E34" s="1249"/>
      <c r="F34" s="2"/>
      <c r="G34" s="1527">
        <f t="shared" si="7"/>
        <v>3.5801758330134707E-2</v>
      </c>
      <c r="H34" s="2">
        <v>226679</v>
      </c>
      <c r="I34" s="1240"/>
      <c r="J34" s="66"/>
      <c r="K34" s="1527">
        <f t="shared" si="8"/>
        <v>1.4999183867936597E-2</v>
      </c>
      <c r="L34" s="2">
        <f t="shared" si="9"/>
        <v>230079</v>
      </c>
      <c r="M34" s="1257" t="str">
        <f t="shared" si="10"/>
        <v>1.5% = Est. S &amp; C</v>
      </c>
      <c r="O34" s="1527">
        <f t="shared" si="11"/>
        <v>1.4999195928355044E-2</v>
      </c>
      <c r="P34" s="2">
        <f t="shared" si="12"/>
        <v>233530</v>
      </c>
      <c r="Q34" s="1257" t="str">
        <f t="shared" si="13"/>
        <v>1.5% = Est. S &amp; C</v>
      </c>
      <c r="S34" s="83"/>
      <c r="T34" s="2"/>
      <c r="U34" s="36"/>
      <c r="W34" s="83"/>
      <c r="X34" s="2"/>
      <c r="Y34" s="36"/>
      <c r="AA34" s="83"/>
      <c r="AB34" s="2"/>
      <c r="AC34" s="36"/>
    </row>
    <row r="35" spans="1:29" x14ac:dyDescent="0.25">
      <c r="A35" s="1434"/>
      <c r="B35" s="1326">
        <v>1281</v>
      </c>
      <c r="C35" s="1243" t="s">
        <v>895</v>
      </c>
      <c r="D35" s="2">
        <v>1406</v>
      </c>
      <c r="E35" s="1249"/>
      <c r="F35" s="2"/>
      <c r="G35" s="1527">
        <f t="shared" si="7"/>
        <v>6.6856330014224752E-2</v>
      </c>
      <c r="H35" s="2">
        <v>1500</v>
      </c>
      <c r="I35" s="1240"/>
      <c r="J35" s="66"/>
      <c r="K35" s="1527">
        <f t="shared" si="8"/>
        <v>0</v>
      </c>
      <c r="L35" s="2">
        <f>+H35</f>
        <v>1500</v>
      </c>
      <c r="M35" s="1257" t="s">
        <v>174</v>
      </c>
      <c r="O35" s="1527">
        <f t="shared" si="11"/>
        <v>0</v>
      </c>
      <c r="P35" s="2">
        <f>+L35</f>
        <v>1500</v>
      </c>
      <c r="Q35" s="1257" t="s">
        <v>174</v>
      </c>
      <c r="S35" s="83"/>
      <c r="T35" s="2"/>
      <c r="U35" s="36"/>
      <c r="W35" s="83"/>
      <c r="X35" s="2"/>
      <c r="Y35" s="36"/>
      <c r="AA35" s="83"/>
      <c r="AB35" s="2"/>
      <c r="AC35" s="36"/>
    </row>
    <row r="36" spans="1:29" x14ac:dyDescent="0.25">
      <c r="A36" s="1434"/>
      <c r="B36" s="1326" t="s">
        <v>248</v>
      </c>
      <c r="C36" s="1243" t="s">
        <v>897</v>
      </c>
      <c r="D36" s="2">
        <v>130140</v>
      </c>
      <c r="E36" s="1249"/>
      <c r="F36" s="2"/>
      <c r="G36" s="1527">
        <f t="shared" si="7"/>
        <v>2.3351775011526049E-2</v>
      </c>
      <c r="H36" s="2">
        <v>133179</v>
      </c>
      <c r="I36" s="1240"/>
      <c r="J36" s="66"/>
      <c r="K36" s="1527">
        <f t="shared" si="8"/>
        <v>1.5002365237762711E-2</v>
      </c>
      <c r="L36" s="2">
        <f t="shared" si="9"/>
        <v>135177</v>
      </c>
      <c r="M36" s="1257" t="str">
        <f t="shared" si="10"/>
        <v>1.5% = Est. S &amp; C</v>
      </c>
      <c r="O36" s="1527">
        <f t="shared" si="11"/>
        <v>1.5002552209325551E-2</v>
      </c>
      <c r="P36" s="2">
        <f t="shared" si="12"/>
        <v>137205</v>
      </c>
      <c r="Q36" s="1257" t="str">
        <f t="shared" si="13"/>
        <v>1.5% = Est. S &amp; C</v>
      </c>
      <c r="S36" s="83"/>
      <c r="T36" s="2"/>
      <c r="U36" s="36"/>
      <c r="W36" s="83"/>
      <c r="X36" s="2"/>
      <c r="Y36" s="36"/>
      <c r="AA36" s="83"/>
      <c r="AB36" s="2"/>
      <c r="AC36" s="36"/>
    </row>
    <row r="37" spans="1:29" x14ac:dyDescent="0.25">
      <c r="A37" s="1434"/>
      <c r="B37" s="1326">
        <v>1903</v>
      </c>
      <c r="C37" s="1243" t="s">
        <v>896</v>
      </c>
      <c r="D37" s="2">
        <v>417724</v>
      </c>
      <c r="E37" s="1249"/>
      <c r="F37" s="2"/>
      <c r="G37" s="1527">
        <f t="shared" si="7"/>
        <v>1.9623004663366243E-2</v>
      </c>
      <c r="H37" s="2">
        <v>425921</v>
      </c>
      <c r="I37" s="1240"/>
      <c r="J37" s="66"/>
      <c r="K37" s="1527">
        <f t="shared" si="8"/>
        <v>1.5000434352849472E-2</v>
      </c>
      <c r="L37" s="2">
        <f t="shared" si="9"/>
        <v>432310</v>
      </c>
      <c r="M37" s="1257" t="str">
        <f t="shared" si="10"/>
        <v>1.5% = Est. S &amp; C</v>
      </c>
      <c r="O37" s="1527">
        <f t="shared" si="11"/>
        <v>1.5000809604219194E-2</v>
      </c>
      <c r="P37" s="2">
        <f t="shared" si="12"/>
        <v>438795</v>
      </c>
      <c r="Q37" s="1257" t="str">
        <f t="shared" si="13"/>
        <v>1.5% = Est. S &amp; C</v>
      </c>
      <c r="S37" s="83"/>
      <c r="T37" s="2"/>
      <c r="U37" s="36"/>
      <c r="W37" s="83"/>
      <c r="X37" s="2"/>
      <c r="Y37" s="36"/>
      <c r="AA37" s="83"/>
      <c r="AB37" s="2"/>
      <c r="AC37" s="36"/>
    </row>
    <row r="38" spans="1:29" x14ac:dyDescent="0.25">
      <c r="A38" s="1434"/>
      <c r="B38" s="1326">
        <v>1923</v>
      </c>
      <c r="C38" s="1243" t="s">
        <v>249</v>
      </c>
      <c r="D38" s="2">
        <v>4000</v>
      </c>
      <c r="E38" s="1249"/>
      <c r="F38" s="2"/>
      <c r="G38" s="1527">
        <f t="shared" si="7"/>
        <v>-1</v>
      </c>
      <c r="H38" s="2">
        <v>0</v>
      </c>
      <c r="I38" s="1240"/>
      <c r="J38" s="66"/>
      <c r="K38" s="1527" t="str">
        <f t="shared" si="8"/>
        <v xml:space="preserve"> - </v>
      </c>
      <c r="L38" s="2">
        <f t="shared" si="9"/>
        <v>0</v>
      </c>
      <c r="M38" s="1257"/>
      <c r="O38" s="1527" t="str">
        <f t="shared" si="11"/>
        <v xml:space="preserve"> - </v>
      </c>
      <c r="P38" s="2">
        <f t="shared" si="12"/>
        <v>0</v>
      </c>
      <c r="Q38" s="1257"/>
      <c r="S38" s="83"/>
      <c r="T38" s="2"/>
      <c r="U38" s="36"/>
      <c r="W38" s="83"/>
      <c r="X38" s="2"/>
      <c r="Y38" s="36"/>
      <c r="AA38" s="83"/>
      <c r="AB38" s="2"/>
      <c r="AC38" s="36"/>
    </row>
    <row r="39" spans="1:29" x14ac:dyDescent="0.25">
      <c r="A39" s="1434"/>
      <c r="B39" s="1326"/>
      <c r="E39" s="1249"/>
      <c r="F39" s="2"/>
      <c r="G39" s="1527"/>
      <c r="H39" s="2"/>
      <c r="I39" s="1257"/>
      <c r="J39" s="66"/>
      <c r="K39" s="1527"/>
      <c r="L39" s="2"/>
      <c r="M39" s="1257"/>
      <c r="O39" s="1527"/>
      <c r="Q39" s="1257"/>
      <c r="T39" s="2"/>
      <c r="U39" s="73"/>
      <c r="X39" s="2"/>
      <c r="Y39" s="73"/>
      <c r="AB39" s="2"/>
      <c r="AC39" s="73"/>
    </row>
    <row r="40" spans="1:29" x14ac:dyDescent="0.25">
      <c r="A40" s="1434"/>
      <c r="B40" s="1326"/>
      <c r="D40" s="8">
        <f>SUM(D24:D39)</f>
        <v>5750801</v>
      </c>
      <c r="E40" s="1249"/>
      <c r="F40" s="2"/>
      <c r="G40" s="1527">
        <f t="shared" si="7"/>
        <v>5.1610201778847849E-2</v>
      </c>
      <c r="H40" s="8">
        <f>SUM(H24:H39)</f>
        <v>6047601</v>
      </c>
      <c r="I40" s="1882">
        <f>+H40-D40</f>
        <v>296800</v>
      </c>
      <c r="J40" s="29"/>
      <c r="K40" s="1527">
        <f t="shared" si="8"/>
        <v>1.4826044244651723E-2</v>
      </c>
      <c r="L40" s="8">
        <f>SUM(L24:L39)</f>
        <v>6137263</v>
      </c>
      <c r="M40" s="1882">
        <f>+L40-H40</f>
        <v>89662</v>
      </c>
      <c r="O40" s="1527">
        <f t="shared" ref="O40" si="14">IF(L40=0," - ",(P40-L40)/L40)</f>
        <v>1.482875998633267E-2</v>
      </c>
      <c r="P40" s="8">
        <f>SUM(P24:P39)</f>
        <v>6228271</v>
      </c>
      <c r="Q40" s="1882">
        <f>+P40-L40</f>
        <v>91008</v>
      </c>
      <c r="S40" s="83">
        <f>IF(P40=0,"0.00%",(T40-P40)/P40)</f>
        <v>-0.16928582587366542</v>
      </c>
      <c r="T40" s="8">
        <f>SUM(T24:T39)</f>
        <v>5173913</v>
      </c>
      <c r="U40" s="73"/>
      <c r="W40" s="83">
        <f>IF(T40=0,"0.00%",(X40-T40)/T40)</f>
        <v>1.9734773275082128E-2</v>
      </c>
      <c r="X40" s="8">
        <f>SUM(X24:X39)</f>
        <v>5276019</v>
      </c>
      <c r="Y40" s="73"/>
      <c r="AA40" s="83">
        <f>IF(X40=0,"0.00%",(AB40-X40)/X40)</f>
        <v>1.973988342346758E-2</v>
      </c>
      <c r="AB40" s="8">
        <f>SUM(AB24:AB39)</f>
        <v>5380167</v>
      </c>
      <c r="AC40" s="73"/>
    </row>
    <row r="41" spans="1:29" x14ac:dyDescent="0.25">
      <c r="A41" s="1434"/>
      <c r="E41" s="1249"/>
      <c r="F41" s="2"/>
      <c r="H41" s="2"/>
      <c r="I41" s="1257"/>
      <c r="J41" s="66"/>
      <c r="L41" s="2"/>
      <c r="M41" s="1335"/>
      <c r="Q41" s="1335"/>
      <c r="T41" s="2"/>
      <c r="U41" s="73"/>
      <c r="X41" s="2"/>
      <c r="Y41" s="73"/>
      <c r="AB41" s="2"/>
      <c r="AC41" s="73"/>
    </row>
    <row r="42" spans="1:29" s="4" customFormat="1" x14ac:dyDescent="0.25">
      <c r="A42" s="1434"/>
      <c r="B42" s="1327" t="s">
        <v>35</v>
      </c>
      <c r="C42" s="1259"/>
      <c r="D42" s="6"/>
      <c r="E42" s="1250"/>
      <c r="F42" s="6"/>
      <c r="G42" s="1539"/>
      <c r="H42" s="6"/>
      <c r="I42" s="1250"/>
      <c r="J42" s="57"/>
      <c r="K42" s="1571"/>
      <c r="L42" s="6"/>
      <c r="M42" s="1337"/>
      <c r="O42" s="1571"/>
      <c r="P42" s="6"/>
      <c r="Q42" s="1337"/>
      <c r="R42" s="111"/>
      <c r="T42" s="6"/>
      <c r="U42" s="71"/>
      <c r="X42" s="6"/>
      <c r="Y42" s="71"/>
      <c r="AB42" s="6"/>
      <c r="AC42" s="71"/>
    </row>
    <row r="43" spans="1:29" x14ac:dyDescent="0.25">
      <c r="A43" s="1346"/>
      <c r="B43" s="1326" t="s">
        <v>250</v>
      </c>
      <c r="C43" s="1243" t="s">
        <v>423</v>
      </c>
      <c r="D43" s="2">
        <f>287119+812297+80404+16000+1083836+247210+217</f>
        <v>2527083</v>
      </c>
      <c r="E43" s="1249"/>
      <c r="F43" s="2"/>
      <c r="G43" s="1527">
        <f t="shared" ref="G43:G51" si="15">IF(D43=0," - ",(H43-D43)/D43)</f>
        <v>0.16524467142551313</v>
      </c>
      <c r="H43" s="2">
        <f>348411+973532+158645+2586+1196619+264877</f>
        <v>2944670</v>
      </c>
      <c r="I43" s="1882">
        <f>+H43-D43</f>
        <v>417587</v>
      </c>
      <c r="J43" s="66"/>
      <c r="K43" s="1527">
        <f t="shared" ref="K43:K51" si="16">IF(H43=0," - ",(L43-H43)/H43)</f>
        <v>1.4999983020168644E-2</v>
      </c>
      <c r="L43" s="2">
        <f>ROUND(H43*(1+M22),0)</f>
        <v>2988840</v>
      </c>
      <c r="M43" s="1257" t="str">
        <f>TEXT(M22,"0.0%")&amp;" = Est. S &amp; C"</f>
        <v>1.5% = Est. S &amp; C</v>
      </c>
      <c r="O43" s="1527">
        <f t="shared" ref="O43:O51" si="17">IF(L43=0," - ",(P43-L43)/L43)</f>
        <v>1.5000133831185343E-2</v>
      </c>
      <c r="P43" s="2">
        <f>ROUND(L43*(1+Q22),0)</f>
        <v>3033673</v>
      </c>
      <c r="Q43" s="1257" t="str">
        <f>TEXT(Q22,"0.0%")&amp;" = Est. S &amp; C"</f>
        <v>1.5% = Est. S &amp; C</v>
      </c>
      <c r="S43" s="83">
        <f t="shared" ref="S43:S49" si="18">IF(P43=0,"0.00%",(T43-P43)/P43)</f>
        <v>1.9999848368627733E-2</v>
      </c>
      <c r="T43" s="2">
        <f>ROUND(P43*(1+U22),0)</f>
        <v>3094346</v>
      </c>
      <c r="U43" s="36" t="str">
        <f>TEXT(U22,"0.0%")&amp;" = Est. S &amp; C"</f>
        <v>2.0% = Est. S &amp; C</v>
      </c>
      <c r="W43" s="83">
        <f t="shared" ref="W43:W49" si="19">IF(T43=0,"0.00%",(X43-T43)/T43)</f>
        <v>2.0000025853605254E-2</v>
      </c>
      <c r="X43" s="2">
        <f>ROUND(T43*(1+Y22),0)</f>
        <v>3156233</v>
      </c>
      <c r="Y43" s="36" t="str">
        <f>TEXT(Y22,"0.0%")&amp;" = Est. S &amp; C"</f>
        <v>2.0% = Est. S &amp; C</v>
      </c>
      <c r="AA43" s="83">
        <f t="shared" ref="AA43:AA49" si="20">IF(X43=0,"0.00%",(AB43-X43)/X43)</f>
        <v>2.0000107723352489E-2</v>
      </c>
      <c r="AB43" s="2">
        <f>ROUND(X43*(1+AC22),0)</f>
        <v>3219358</v>
      </c>
      <c r="AC43" s="36" t="str">
        <f>TEXT(AC22,"0.0%")&amp;" = Est. S &amp; C"</f>
        <v>2.0% = Est. S &amp; C</v>
      </c>
    </row>
    <row r="44" spans="1:29" x14ac:dyDescent="0.25">
      <c r="A44" s="1346"/>
      <c r="B44" s="1326">
        <v>2181</v>
      </c>
      <c r="C44" s="1243" t="s">
        <v>254</v>
      </c>
      <c r="D44" s="2">
        <v>87866</v>
      </c>
      <c r="E44" s="1249"/>
      <c r="F44" s="2"/>
      <c r="G44" s="1527">
        <f t="shared" si="15"/>
        <v>-4.934787062117315E-2</v>
      </c>
      <c r="H44" s="2">
        <v>83530</v>
      </c>
      <c r="I44" s="1257"/>
      <c r="J44" s="66"/>
      <c r="K44" s="1527">
        <f t="shared" si="16"/>
        <v>0</v>
      </c>
      <c r="L44" s="2">
        <f>+H44</f>
        <v>83530</v>
      </c>
      <c r="M44" s="1257" t="s">
        <v>174</v>
      </c>
      <c r="O44" s="1527">
        <f t="shared" si="17"/>
        <v>0</v>
      </c>
      <c r="P44" s="2">
        <f>+L44</f>
        <v>83530</v>
      </c>
      <c r="Q44" s="1257" t="s">
        <v>174</v>
      </c>
      <c r="S44" s="83">
        <f t="shared" si="18"/>
        <v>0</v>
      </c>
      <c r="T44" s="2">
        <f>+P44</f>
        <v>83530</v>
      </c>
      <c r="U44" s="36" t="s">
        <v>174</v>
      </c>
      <c r="W44" s="83">
        <f t="shared" si="19"/>
        <v>2.0004788698671137E-2</v>
      </c>
      <c r="X44" s="2">
        <f>ROUND(T44*(1+Y22),0)</f>
        <v>85201</v>
      </c>
      <c r="Y44" s="36" t="str">
        <f>TEXT(Y22,"0.0%")&amp;" = Est. S &amp; C"</f>
        <v>2.0% = Est. S &amp; C</v>
      </c>
      <c r="AA44" s="83">
        <f t="shared" si="20"/>
        <v>1.9999765260971115E-2</v>
      </c>
      <c r="AB44" s="2">
        <f>ROUND(X44*(1+AC22),0)</f>
        <v>86905</v>
      </c>
      <c r="AC44" s="36" t="str">
        <f>TEXT(AC22,"0.0%")&amp;" = Est. S &amp; C"</f>
        <v>2.0% = Est. S &amp; C</v>
      </c>
    </row>
    <row r="45" spans="1:29" x14ac:dyDescent="0.25">
      <c r="A45" s="1346"/>
      <c r="B45" s="1326">
        <v>2204</v>
      </c>
      <c r="C45" s="1243" t="s">
        <v>898</v>
      </c>
      <c r="D45" s="2">
        <v>121326</v>
      </c>
      <c r="E45" s="1249"/>
      <c r="F45" s="2"/>
      <c r="G45" s="1527">
        <f t="shared" si="15"/>
        <v>0.18357153454329658</v>
      </c>
      <c r="H45" s="2">
        <v>143598</v>
      </c>
      <c r="I45" s="1257"/>
      <c r="J45" s="66"/>
      <c r="K45" s="1527">
        <f t="shared" si="16"/>
        <v>1.5000208916558726E-2</v>
      </c>
      <c r="L45" s="2">
        <f>ROUND(H45*(1+M22),0)</f>
        <v>145752</v>
      </c>
      <c r="M45" s="1257" t="str">
        <f>TEXT($M$22,"0.0%")&amp;" = Est. S &amp; C"</f>
        <v>1.5% = Est. S &amp; C</v>
      </c>
      <c r="O45" s="1527">
        <f t="shared" si="17"/>
        <v>1.4998078928591032E-2</v>
      </c>
      <c r="P45" s="2">
        <f>ROUND(L45*(1+Q22),0)</f>
        <v>147938</v>
      </c>
      <c r="Q45" s="1257" t="str">
        <f>TEXT($Q$22,"0.0%")&amp;" = Est. S &amp; C"</f>
        <v>1.5% = Est. S &amp; C</v>
      </c>
      <c r="S45" s="83">
        <f t="shared" si="18"/>
        <v>2.0001622301234302E-2</v>
      </c>
      <c r="T45" s="2">
        <f>ROUND(P45*(1+U22),0)</f>
        <v>150897</v>
      </c>
      <c r="U45" s="36" t="str">
        <f>TEXT(U22,"0.0%")&amp;" = Est. S &amp; C"</f>
        <v>2.0% = Est. S &amp; C</v>
      </c>
      <c r="W45" s="83">
        <f t="shared" si="19"/>
        <v>2.000039762221913E-2</v>
      </c>
      <c r="X45" s="2">
        <f>ROUND(T45*(1+Y22),0)</f>
        <v>153915</v>
      </c>
      <c r="Y45" s="36" t="str">
        <f>TEXT(Y22,"0.0%")&amp;" = Est. S &amp; C"</f>
        <v>2.0% = Est. S &amp; C</v>
      </c>
      <c r="AA45" s="83">
        <f t="shared" si="20"/>
        <v>1.9998050872234677E-2</v>
      </c>
      <c r="AB45" s="2">
        <f>ROUND(X45*(1+AC22),0)</f>
        <v>156993</v>
      </c>
      <c r="AC45" s="36" t="str">
        <f>TEXT(AC22,"0.0%")&amp;" = Est. S &amp; C"</f>
        <v>2.0% = Est. S &amp; C</v>
      </c>
    </row>
    <row r="46" spans="1:29" x14ac:dyDescent="0.25">
      <c r="A46" s="1346"/>
      <c r="B46" s="1326">
        <v>2208</v>
      </c>
      <c r="C46" s="1243" t="s">
        <v>899</v>
      </c>
      <c r="D46" s="2">
        <v>222063</v>
      </c>
      <c r="E46" s="1249"/>
      <c r="F46" s="2"/>
      <c r="G46" s="1527">
        <f t="shared" si="15"/>
        <v>-6.1716720029901424E-2</v>
      </c>
      <c r="H46" s="2">
        <v>208358</v>
      </c>
      <c r="I46" s="1257"/>
      <c r="J46" s="66"/>
      <c r="K46" s="1527">
        <f t="shared" si="16"/>
        <v>1.4998224210253507E-2</v>
      </c>
      <c r="L46" s="2">
        <f>ROUND(H46*(1+M22),0)</f>
        <v>211483</v>
      </c>
      <c r="M46" s="1257" t="str">
        <f>TEXT($M$22,"0.0%")&amp;" = Est. S &amp; C"</f>
        <v>1.5% = Est. S &amp; C</v>
      </c>
      <c r="O46" s="1527">
        <f t="shared" si="17"/>
        <v>1.4998841514447969E-2</v>
      </c>
      <c r="P46" s="2">
        <f>ROUND(L46*(1+Q22),0)</f>
        <v>214655</v>
      </c>
      <c r="Q46" s="1257" t="str">
        <f>TEXT($Q$22,"0.0%")&amp;" = Est. S &amp; C"</f>
        <v>1.5% = Est. S &amp; C</v>
      </c>
      <c r="S46" s="83">
        <f t="shared" si="18"/>
        <v>1.9999534136171997E-2</v>
      </c>
      <c r="T46" s="2">
        <f>ROUND(P46*(1+U22),0)</f>
        <v>218948</v>
      </c>
      <c r="U46" s="36" t="str">
        <f>TEXT(U22,"0.0%")&amp;" = Est. S &amp; C"</f>
        <v>2.0% = Est. S &amp; C</v>
      </c>
      <c r="W46" s="83">
        <f t="shared" si="19"/>
        <v>2.0000182691780697E-2</v>
      </c>
      <c r="X46" s="2">
        <f>ROUND(T46*(1+Y22),0)</f>
        <v>223327</v>
      </c>
      <c r="Y46" s="36" t="str">
        <f>TEXT(Y22,"0.0%")&amp;" = Est. S &amp; C"</f>
        <v>2.0% = Est. S &amp; C</v>
      </c>
      <c r="AA46" s="83">
        <f t="shared" si="20"/>
        <v>2.0002059759903639E-2</v>
      </c>
      <c r="AB46" s="2">
        <f>ROUND(X46*(1+AC22),0)</f>
        <v>227794</v>
      </c>
      <c r="AC46" s="36" t="str">
        <f>TEXT(AC22,"0.0%")&amp;" = Est. S &amp; C"</f>
        <v>2.0% = Est. S &amp; C</v>
      </c>
    </row>
    <row r="47" spans="1:29" x14ac:dyDescent="0.25">
      <c r="A47" s="1346"/>
      <c r="B47" s="1326" t="s">
        <v>252</v>
      </c>
      <c r="C47" s="1243" t="s">
        <v>900</v>
      </c>
      <c r="D47" s="2">
        <f>90757+144+7125</f>
        <v>98026</v>
      </c>
      <c r="E47" s="1249"/>
      <c r="F47" s="2"/>
      <c r="G47" s="1527">
        <f t="shared" si="15"/>
        <v>2.4167057719380571E-2</v>
      </c>
      <c r="H47" s="2">
        <f>93270+7125</f>
        <v>100395</v>
      </c>
      <c r="I47" s="1257"/>
      <c r="J47" s="66"/>
      <c r="K47" s="1527">
        <f t="shared" si="16"/>
        <v>0</v>
      </c>
      <c r="L47" s="2">
        <f>+H47</f>
        <v>100395</v>
      </c>
      <c r="M47" s="1257" t="s">
        <v>174</v>
      </c>
      <c r="O47" s="1527">
        <f t="shared" si="17"/>
        <v>0</v>
      </c>
      <c r="P47" s="2">
        <f>+L47</f>
        <v>100395</v>
      </c>
      <c r="Q47" s="1257" t="s">
        <v>174</v>
      </c>
      <c r="S47" s="83">
        <f t="shared" si="18"/>
        <v>2.0000996065541114E-2</v>
      </c>
      <c r="T47" s="2">
        <f>ROUND(P47*(1+U22),0)</f>
        <v>102403</v>
      </c>
      <c r="U47" s="36" t="str">
        <f>TEXT(U22,"0.0%")&amp;" = Est. S &amp; C"</f>
        <v>2.0% = Est. S &amp; C</v>
      </c>
      <c r="W47" s="83">
        <f t="shared" si="19"/>
        <v>1.9999414079665635E-2</v>
      </c>
      <c r="X47" s="2">
        <f>ROUND(T47*(1+Y22),0)</f>
        <v>104451</v>
      </c>
      <c r="Y47" s="36" t="str">
        <f>TEXT(Y22,"0.0%")&amp;" = Est. S &amp; C"</f>
        <v>2.0% = Est. S &amp; C</v>
      </c>
      <c r="AA47" s="83">
        <f t="shared" si="20"/>
        <v>1.9999808522656558E-2</v>
      </c>
      <c r="AB47" s="2">
        <f>ROUND(X47*(1+AC22),0)</f>
        <v>106540</v>
      </c>
      <c r="AC47" s="36" t="str">
        <f>TEXT(AC22,"0.0%")&amp;" = Est. S &amp; C"</f>
        <v>2.0% = Est. S &amp; C</v>
      </c>
    </row>
    <row r="48" spans="1:29" x14ac:dyDescent="0.25">
      <c r="A48" s="1346"/>
      <c r="B48" s="1326" t="s">
        <v>255</v>
      </c>
      <c r="C48" s="1243" t="s">
        <v>256</v>
      </c>
      <c r="D48" s="2">
        <f>4589+239</f>
        <v>4828</v>
      </c>
      <c r="E48" s="1249"/>
      <c r="F48" s="2"/>
      <c r="G48" s="1527">
        <f t="shared" si="15"/>
        <v>-1</v>
      </c>
      <c r="H48" s="2">
        <v>0</v>
      </c>
      <c r="I48" s="1257"/>
      <c r="J48" s="66"/>
      <c r="K48" s="1527" t="str">
        <f t="shared" si="16"/>
        <v xml:space="preserve"> - </v>
      </c>
      <c r="L48" s="2">
        <f>ROUND(H48*(1+M22),0)</f>
        <v>0</v>
      </c>
      <c r="M48" s="1257" t="str">
        <f>TEXT(M22,"0.0%")&amp;" = Est. S &amp; C"</f>
        <v>1.5% = Est. S &amp; C</v>
      </c>
      <c r="O48" s="1527" t="str">
        <f t="shared" si="17"/>
        <v xml:space="preserve"> - </v>
      </c>
      <c r="P48" s="2">
        <f>ROUND(L48*(1+Q22),0)</f>
        <v>0</v>
      </c>
      <c r="Q48" s="1257" t="str">
        <f>TEXT(Q22,"0.0%")&amp;" = Est. S &amp; C"</f>
        <v>1.5% = Est. S &amp; C</v>
      </c>
      <c r="S48" s="83" t="str">
        <f t="shared" si="18"/>
        <v>0.00%</v>
      </c>
      <c r="T48" s="2">
        <f>ROUND(P48*(1+U22),0)</f>
        <v>0</v>
      </c>
      <c r="U48" s="36" t="str">
        <f>TEXT(U22,"0.0%")&amp;" = Est. S &amp; C"</f>
        <v>2.0% = Est. S &amp; C</v>
      </c>
      <c r="W48" s="83" t="str">
        <f t="shared" si="19"/>
        <v>0.00%</v>
      </c>
      <c r="X48" s="2">
        <f>ROUND(T48*(1+Y22),0)</f>
        <v>0</v>
      </c>
      <c r="Y48" s="36" t="str">
        <f>TEXT(Y22,"0.0%")&amp;" = Est. S &amp; C"</f>
        <v>2.0% = Est. S &amp; C</v>
      </c>
      <c r="AA48" s="83" t="str">
        <f t="shared" si="20"/>
        <v>0.00%</v>
      </c>
      <c r="AB48" s="2">
        <f>ROUND(X48*(1+AC22),0)</f>
        <v>0</v>
      </c>
      <c r="AC48" s="36" t="str">
        <f>TEXT(AC22,"0.0%")&amp;" = Est. S &amp; C"</f>
        <v>2.0% = Est. S &amp; C</v>
      </c>
    </row>
    <row r="49" spans="1:29" x14ac:dyDescent="0.25">
      <c r="A49" s="1346"/>
      <c r="B49" s="1326"/>
      <c r="D49" s="2">
        <v>0</v>
      </c>
      <c r="E49" s="1249"/>
      <c r="F49" s="2"/>
      <c r="G49" s="1527" t="str">
        <f t="shared" si="15"/>
        <v xml:space="preserve"> - </v>
      </c>
      <c r="H49" s="2">
        <f t="shared" ref="H49" si="21">ROUND(D49*(1+$I$22),0)</f>
        <v>0</v>
      </c>
      <c r="I49" s="1257"/>
      <c r="J49" s="66"/>
      <c r="K49" s="1527" t="str">
        <f t="shared" si="16"/>
        <v xml:space="preserve"> - </v>
      </c>
      <c r="L49" s="162">
        <f>-'RS 3310'!L39</f>
        <v>31139</v>
      </c>
      <c r="M49" s="1341" t="s">
        <v>276</v>
      </c>
      <c r="O49" s="1527">
        <f t="shared" si="17"/>
        <v>1.7071839172741579</v>
      </c>
      <c r="P49" s="162">
        <f>-'RS 3310'!P39</f>
        <v>84299</v>
      </c>
      <c r="Q49" s="1341" t="s">
        <v>276</v>
      </c>
      <c r="S49" s="83">
        <f t="shared" si="18"/>
        <v>2.0000237250738444E-2</v>
      </c>
      <c r="T49" s="2">
        <f>ROUND(P49*(1+U22),0)</f>
        <v>85985</v>
      </c>
      <c r="U49" s="36" t="str">
        <f>TEXT(U22,"0.0%")&amp;" = Est. S &amp; C"</f>
        <v>2.0% = Est. S &amp; C</v>
      </c>
      <c r="W49" s="83">
        <f t="shared" si="19"/>
        <v>2.0003488980636159E-2</v>
      </c>
      <c r="X49" s="2">
        <f>ROUND(T49*(1+Y22),0)</f>
        <v>87705</v>
      </c>
      <c r="Y49" s="36" t="str">
        <f>TEXT(Y22,"0.0%")&amp;" = Est. S &amp; C"</f>
        <v>2.0% = Est. S &amp; C</v>
      </c>
      <c r="AA49" s="83">
        <f t="shared" si="20"/>
        <v>1.9998859814149707E-2</v>
      </c>
      <c r="AB49" s="2">
        <f>ROUND(X49*(1+AC22),0)</f>
        <v>89459</v>
      </c>
      <c r="AC49" s="36" t="str">
        <f>TEXT(AC22,"0.0%")&amp;" = Est. S &amp; C"</f>
        <v>2.0% = Est. S &amp; C</v>
      </c>
    </row>
    <row r="50" spans="1:29" x14ac:dyDescent="0.25">
      <c r="A50" s="1346"/>
      <c r="B50" s="1326"/>
      <c r="E50" s="1249"/>
      <c r="F50" s="2"/>
      <c r="G50" s="1527"/>
      <c r="H50" s="2"/>
      <c r="I50" s="1257"/>
      <c r="J50" s="66"/>
      <c r="K50" s="1527"/>
      <c r="L50" s="2"/>
      <c r="M50" s="1335"/>
      <c r="O50" s="1527"/>
      <c r="Q50" s="1335"/>
      <c r="T50" s="2"/>
      <c r="U50" s="73"/>
      <c r="X50" s="2"/>
      <c r="Y50" s="73"/>
      <c r="AB50" s="2"/>
      <c r="AC50" s="73"/>
    </row>
    <row r="51" spans="1:29" x14ac:dyDescent="0.25">
      <c r="A51" s="1348"/>
      <c r="B51" s="1326"/>
      <c r="D51" s="8">
        <f>SUM(D43:D50)</f>
        <v>3061192</v>
      </c>
      <c r="E51" s="1249"/>
      <c r="F51" s="2"/>
      <c r="G51" s="1527">
        <f t="shared" si="15"/>
        <v>0.13699206060906993</v>
      </c>
      <c r="H51" s="8">
        <f>SUM(H43:H50)</f>
        <v>3480551</v>
      </c>
      <c r="I51" s="1882">
        <f>+H51-D51</f>
        <v>419359</v>
      </c>
      <c r="J51" s="29"/>
      <c r="K51" s="1527">
        <f t="shared" si="16"/>
        <v>2.3153805245203992E-2</v>
      </c>
      <c r="L51" s="8">
        <f>SUM(L43:L50)</f>
        <v>3561139</v>
      </c>
      <c r="M51" s="1882">
        <f>+L51-H51</f>
        <v>80588</v>
      </c>
      <c r="O51" s="1527">
        <f t="shared" si="17"/>
        <v>2.9021894399516558E-2</v>
      </c>
      <c r="P51" s="8">
        <f>SUM(P43:P50)</f>
        <v>3664490</v>
      </c>
      <c r="Q51" s="1882">
        <f>+P51-L51</f>
        <v>103351</v>
      </c>
      <c r="S51" s="83">
        <f>IF(P51=0,"0.00%",(T51-P51)/P51)</f>
        <v>1.9544056608150111E-2</v>
      </c>
      <c r="T51" s="8">
        <f>SUM(T43:T50)</f>
        <v>3736109</v>
      </c>
      <c r="U51" s="73"/>
      <c r="W51" s="83">
        <f>IF(T51=0,"0.00%",(X51-T51)/T51)</f>
        <v>2.0000219479677922E-2</v>
      </c>
      <c r="X51" s="8">
        <f>SUM(X43:X50)</f>
        <v>3810832</v>
      </c>
      <c r="Y51" s="73"/>
      <c r="AA51" s="83">
        <f>IF(X51=0,"0.00%",(AB51-X51)/X51)</f>
        <v>2.0000094467559841E-2</v>
      </c>
      <c r="AB51" s="8">
        <f>SUM(AB43:AB50)</f>
        <v>3887049</v>
      </c>
      <c r="AC51" s="73"/>
    </row>
    <row r="52" spans="1:29" x14ac:dyDescent="0.25">
      <c r="A52" s="1346"/>
      <c r="B52" s="1317" t="s">
        <v>28</v>
      </c>
      <c r="E52" s="1249"/>
      <c r="F52" s="2"/>
      <c r="H52" s="2"/>
      <c r="I52" s="1257"/>
      <c r="J52" s="66"/>
      <c r="L52" s="2"/>
      <c r="M52" s="1335"/>
      <c r="Q52" s="1335"/>
      <c r="T52" s="2"/>
      <c r="U52" s="73"/>
      <c r="X52" s="2"/>
      <c r="Y52" s="73"/>
      <c r="AB52" s="2"/>
      <c r="AC52" s="73"/>
    </row>
    <row r="53" spans="1:29" x14ac:dyDescent="0.25">
      <c r="A53" s="1343"/>
      <c r="B53" s="1323" t="s">
        <v>27</v>
      </c>
      <c r="E53" s="1249"/>
      <c r="F53" s="2"/>
      <c r="H53" s="2"/>
      <c r="I53" s="1257"/>
      <c r="J53" s="66"/>
      <c r="L53" s="2"/>
      <c r="M53" s="1335"/>
      <c r="Q53" s="1335"/>
      <c r="T53" s="2"/>
      <c r="U53" s="73"/>
      <c r="X53" s="2"/>
      <c r="Y53" s="73"/>
      <c r="AB53" s="2"/>
      <c r="AC53" s="73"/>
    </row>
    <row r="54" spans="1:29" x14ac:dyDescent="0.25">
      <c r="A54" s="1346"/>
      <c r="B54" s="1326" t="s">
        <v>83</v>
      </c>
      <c r="C54" s="1243" t="s">
        <v>76</v>
      </c>
      <c r="D54" s="2">
        <f>719703+32987</f>
        <v>752690</v>
      </c>
      <c r="E54" s="1240" t="str">
        <f>TEXT('MYP Assumptions'!$D$52,"0.00%")&amp;", STRS rate"</f>
        <v>12.58%, STRS rate</v>
      </c>
      <c r="F54" s="2"/>
      <c r="G54" s="1527">
        <f t="shared" ref="G54:G63" si="22">IF(D54=0," - ",(H54-D54)/D54)</f>
        <v>0.19934900158099617</v>
      </c>
      <c r="H54" s="2">
        <f>872671+30067</f>
        <v>902738</v>
      </c>
      <c r="I54" s="1240" t="str">
        <f>TEXT('MYP Assumptions'!E52,"0.00%")&amp;", projected STRS rate"</f>
        <v>14.43%, projected STRS rate</v>
      </c>
      <c r="J54" s="66"/>
      <c r="K54" s="1527">
        <f t="shared" ref="K54" si="23">IF(H54=0," - ",(L54-H54)/H54)</f>
        <v>0.10679510555665099</v>
      </c>
      <c r="L54" s="2">
        <f>ROUND(L40*LEFT(M54,6),0)</f>
        <v>999146</v>
      </c>
      <c r="M54" s="1240" t="str">
        <f>TEXT('MYP Assumptions'!F52,"0.00%")&amp;", projected STRS rate"</f>
        <v>16.28%, projected STRS rate</v>
      </c>
      <c r="O54" s="1527">
        <f t="shared" ref="O54:O65" si="24">IF(L54=0," - ",(P54-L54)/L54)</f>
        <v>0.13015114908131545</v>
      </c>
      <c r="P54" s="2">
        <f>ROUND(P40*LEFT(Q54,6),0)</f>
        <v>1129186</v>
      </c>
      <c r="Q54" s="1240" t="str">
        <f>TEXT('MYP Assumptions'!G52,"0.00%")&amp;", projected STRS rate"</f>
        <v>18.13%, projected STRS rate</v>
      </c>
      <c r="S54" s="83">
        <f t="shared" ref="S54:S63" si="25">IF(P54=0,"0.00%",(T54-P54)/P54)</f>
        <v>-0.12484125733050179</v>
      </c>
      <c r="T54" s="2">
        <f>ROUND(T40*LEFT(U54,6),0)</f>
        <v>988217</v>
      </c>
      <c r="U54" s="81" t="str">
        <f>TEXT('MYP Assumptions'!H52,"0.00%")&amp;", projected STRS rate"</f>
        <v>19.10%, projected STRS rate</v>
      </c>
      <c r="W54" s="83">
        <f t="shared" ref="W54:W63" si="26">IF(T54=0,"0.00%",(X54-T54)/T54)</f>
        <v>1.973554391393793E-2</v>
      </c>
      <c r="X54" s="2">
        <f>ROUND(X40*LEFT(Y54,6),0)</f>
        <v>1007720</v>
      </c>
      <c r="Y54" s="81" t="str">
        <f>TEXT('MYP Assumptions'!I52,"0.00%")&amp;", projected STRS rate"</f>
        <v>19.10%, projected STRS rate</v>
      </c>
      <c r="AA54" s="83">
        <f t="shared" ref="AA54:AA63" si="27">IF(X54=0,"0.00%",(AB54-X54)/X54)</f>
        <v>1.9739610209185091E-2</v>
      </c>
      <c r="AB54" s="2">
        <f>ROUND(AB40*LEFT(AC54,6),0)</f>
        <v>1027612</v>
      </c>
      <c r="AC54" s="81" t="str">
        <f>TEXT('MYP Assumptions'!J52,"0.00%")&amp;", projected STRS rate"</f>
        <v>19.10%, projected STRS rate</v>
      </c>
    </row>
    <row r="55" spans="1:29" x14ac:dyDescent="0.25">
      <c r="A55" s="1346"/>
      <c r="B55" s="1326" t="s">
        <v>84</v>
      </c>
      <c r="C55" s="1243" t="s">
        <v>77</v>
      </c>
      <c r="D55" s="2">
        <f>7312+393553</f>
        <v>400865</v>
      </c>
      <c r="E55" s="1240" t="str">
        <f>TEXT('MYP Assumptions'!$D$53,"0.00%")&amp;", PERS rate"</f>
        <v>13.89%, PERS rate</v>
      </c>
      <c r="F55" s="2"/>
      <c r="G55" s="1527">
        <f t="shared" si="22"/>
        <v>0.24711311788257892</v>
      </c>
      <c r="H55" s="2">
        <v>499924</v>
      </c>
      <c r="I55" s="1240" t="str">
        <f>TEXT('MYP Assumptions'!E53,"0.00%")&amp;", projected PERS rate"</f>
        <v>15.53%, projected PERS rate</v>
      </c>
      <c r="J55" s="66"/>
      <c r="K55" s="1527">
        <f t="shared" ref="K55:K63" si="28">IF(H55=0,"0.00%",(L55-H55)/H55)</f>
        <v>0.28932797785263359</v>
      </c>
      <c r="L55" s="2">
        <f>ROUND(L51*LEFT(M55,6),0)</f>
        <v>644566</v>
      </c>
      <c r="M55" s="1240" t="str">
        <f>TEXT('MYP Assumptions'!F53,"0.00%")&amp;", projected PERS rate"</f>
        <v>18.10%, projected PERS rate</v>
      </c>
      <c r="O55" s="1527">
        <f t="shared" si="24"/>
        <v>0.18252281380029353</v>
      </c>
      <c r="P55" s="2">
        <f>ROUND(P51*LEFT(Q55,6),0)</f>
        <v>762214</v>
      </c>
      <c r="Q55" s="1240" t="str">
        <f>TEXT('MYP Assumptions'!G53,"0.00%")&amp;", projected PERS rate"</f>
        <v>20.80%, projected PERS rate</v>
      </c>
      <c r="S55" s="83">
        <f t="shared" si="25"/>
        <v>0.16659363380887782</v>
      </c>
      <c r="T55" s="2">
        <f>ROUND(T51*LEFT(U55,6),0)</f>
        <v>889194</v>
      </c>
      <c r="U55" s="81" t="str">
        <f>TEXT('MYP Assumptions'!H53,"0.00%")&amp;", projected PERS rate"</f>
        <v>23.80%, projected PERS rate</v>
      </c>
      <c r="W55" s="83">
        <f t="shared" si="26"/>
        <v>8.0000539814708602E-2</v>
      </c>
      <c r="X55" s="2">
        <f>ROUND(X51*LEFT(Y55,6),0)</f>
        <v>960330</v>
      </c>
      <c r="Y55" s="81" t="str">
        <f>TEXT('MYP Assumptions'!I53,"0.00%")&amp;", projected PERS rate"</f>
        <v>25.20%, projected PERS rate</v>
      </c>
      <c r="AA55" s="83">
        <f t="shared" si="27"/>
        <v>5.6428519363135587E-2</v>
      </c>
      <c r="AB55" s="2">
        <f>ROUND(AB51*LEFT(AC55,6),0)</f>
        <v>1014520</v>
      </c>
      <c r="AC55" s="81" t="str">
        <f>TEXT('MYP Assumptions'!J53,"0.00%")&amp;", projected PERS rate"</f>
        <v>26.10%, projected PERS rate</v>
      </c>
    </row>
    <row r="56" spans="1:29" x14ac:dyDescent="0.25">
      <c r="A56" s="1346"/>
      <c r="B56" s="1326" t="s">
        <v>85</v>
      </c>
      <c r="C56" s="1243" t="s">
        <v>78</v>
      </c>
      <c r="D56" s="2">
        <f>4265+175504</f>
        <v>179769</v>
      </c>
      <c r="E56" s="1240" t="str">
        <f>TEXT('MYP Assumptions'!$D$54,"0.00%")&amp;", SS rate"</f>
        <v>6.20%, SS rate</v>
      </c>
      <c r="F56" s="2"/>
      <c r="G56" s="1527">
        <f t="shared" si="22"/>
        <v>0.11132620195918094</v>
      </c>
      <c r="H56" s="2">
        <v>199782</v>
      </c>
      <c r="I56" s="1240" t="str">
        <f>TEXT('MYP Assumptions'!E54,"0.00%")&amp;", no rate change"</f>
        <v>6.20%, no rate change</v>
      </c>
      <c r="J56" s="66"/>
      <c r="K56" s="1527">
        <f t="shared" si="28"/>
        <v>0.10515962399014926</v>
      </c>
      <c r="L56" s="2">
        <f>ROUND(L51*LEFT(M56,5),0)</f>
        <v>220791</v>
      </c>
      <c r="M56" s="1240" t="str">
        <f>TEXT('MYP Assumptions'!F54,"0.00%")&amp;", no rate change"</f>
        <v>6.20%, no rate change</v>
      </c>
      <c r="O56" s="1527">
        <f t="shared" si="24"/>
        <v>2.9018392959857964E-2</v>
      </c>
      <c r="P56" s="2">
        <f>ROUND(P51*LEFT(Q56,5),0)</f>
        <v>227198</v>
      </c>
      <c r="Q56" s="1240" t="str">
        <f>TEXT('MYP Assumptions'!G54,"0.00%")&amp;", no rate change"</f>
        <v>6.20%, no rate change</v>
      </c>
      <c r="S56" s="83">
        <f t="shared" si="25"/>
        <v>1.9546826996716522E-2</v>
      </c>
      <c r="T56" s="2">
        <f>ROUND(T51*LEFT(U56,5),0)</f>
        <v>231639</v>
      </c>
      <c r="U56" s="81" t="str">
        <f>TEXT('MYP Assumptions'!H54,"0.00%")&amp;", no rate change"</f>
        <v>6.20%, no rate change</v>
      </c>
      <c r="W56" s="83">
        <f t="shared" si="26"/>
        <v>2.0000949753711594E-2</v>
      </c>
      <c r="X56" s="2">
        <f>ROUND(X51*LEFT(Y56,5),0)</f>
        <v>236272</v>
      </c>
      <c r="Y56" s="81" t="str">
        <f>TEXT('MYP Assumptions'!I54,"0.00%")&amp;", no rate change"</f>
        <v>6.20%, no rate change</v>
      </c>
      <c r="AA56" s="83">
        <f t="shared" si="27"/>
        <v>1.9998137739554413E-2</v>
      </c>
      <c r="AB56" s="2">
        <f>ROUND(AB51*LEFT(AC56,5),0)</f>
        <v>240997</v>
      </c>
      <c r="AC56" s="81" t="str">
        <f>TEXT('MYP Assumptions'!J54,"0.00%")&amp;", no rate change"</f>
        <v>6.20%, no rate change</v>
      </c>
    </row>
    <row r="57" spans="1:29" x14ac:dyDescent="0.25">
      <c r="A57" s="1346"/>
      <c r="B57" s="1326" t="s">
        <v>86</v>
      </c>
      <c r="C57" s="1243" t="s">
        <v>79</v>
      </c>
      <c r="D57" s="2">
        <f>84293+45147</f>
        <v>129440</v>
      </c>
      <c r="E57" s="1240" t="str">
        <f>TEXT('MYP Assumptions'!$D$55,"0.00%")&amp;", Medicare rate"</f>
        <v>1.45%, Medicare rate</v>
      </c>
      <c r="F57" s="2"/>
      <c r="G57" s="1527">
        <f t="shared" si="22"/>
        <v>6.6973114956736718E-2</v>
      </c>
      <c r="H57" s="2">
        <f>88366+49743</f>
        <v>138109</v>
      </c>
      <c r="I57" s="1240" t="str">
        <f>TEXT('MYP Assumptions'!E55,"0.00%")&amp;", no rate change"</f>
        <v>1.45%, no rate change</v>
      </c>
      <c r="J57" s="66"/>
      <c r="K57" s="1527">
        <f t="shared" si="28"/>
        <v>1.8231976192717346E-2</v>
      </c>
      <c r="L57" s="2">
        <f>ROUND((L51+L40)*LEFT(M57,5),0)</f>
        <v>140627</v>
      </c>
      <c r="M57" s="1240" t="str">
        <f>TEXT('MYP Assumptions'!F55,"0.00%")&amp;", no rate change"</f>
        <v>1.45%, no rate change</v>
      </c>
      <c r="O57" s="1527">
        <f t="shared" si="24"/>
        <v>2.0038826114473038E-2</v>
      </c>
      <c r="P57" s="2">
        <f>ROUND((P51+P40)*LEFT(Q57,5),0)</f>
        <v>143445</v>
      </c>
      <c r="Q57" s="1240" t="str">
        <f>TEXT('MYP Assumptions'!G55,"0.00%")&amp;", no rate change"</f>
        <v>1.45%, no rate change</v>
      </c>
      <c r="S57" s="83">
        <f t="shared" si="25"/>
        <v>-9.9341210917076234E-2</v>
      </c>
      <c r="T57" s="2">
        <f>ROUND((T51+T40)*LEFT(U57,5),0)</f>
        <v>129195</v>
      </c>
      <c r="U57" s="81" t="str">
        <f>TEXT('MYP Assumptions'!H55,"0.00%")&amp;", no rate change"</f>
        <v>1.45%, no rate change</v>
      </c>
      <c r="W57" s="83">
        <f t="shared" si="26"/>
        <v>1.9845969271256626E-2</v>
      </c>
      <c r="X57" s="2">
        <f>ROUND((X51+X40)*LEFT(Y57,5),0)</f>
        <v>131759</v>
      </c>
      <c r="Y57" s="81" t="str">
        <f>TEXT('MYP Assumptions'!I55,"0.00%")&amp;", no rate change"</f>
        <v>1.45%, no rate change</v>
      </c>
      <c r="AA57" s="83">
        <f t="shared" si="27"/>
        <v>1.9854431196350913E-2</v>
      </c>
      <c r="AB57" s="2">
        <f>ROUND((AB51+AB40)*LEFT(AC57,5),0)</f>
        <v>134375</v>
      </c>
      <c r="AC57" s="81" t="str">
        <f>TEXT('MYP Assumptions'!J55,"0.00%")&amp;", no rate change"</f>
        <v>1.45%, no rate change</v>
      </c>
    </row>
    <row r="58" spans="1:29" x14ac:dyDescent="0.25">
      <c r="A58" s="1346"/>
      <c r="B58" s="1326" t="s">
        <v>87</v>
      </c>
      <c r="C58" s="1243" t="s">
        <v>80</v>
      </c>
      <c r="D58" s="2">
        <f>566537+160231</f>
        <v>726768</v>
      </c>
      <c r="E58" s="1240"/>
      <c r="F58" s="2"/>
      <c r="G58" s="1527">
        <f t="shared" si="22"/>
        <v>6.7903374942209896E-2</v>
      </c>
      <c r="H58" s="2">
        <f>606209+169909</f>
        <v>776118</v>
      </c>
      <c r="I58" s="1240" t="str">
        <f>TEXT('MYP Assumptions'!$M$62,"0.00%")&amp;", projected increase"</f>
        <v>7.00%, projected increase</v>
      </c>
      <c r="J58" s="66"/>
      <c r="K58" s="1527">
        <f t="shared" si="28"/>
        <v>6.9999664999394418E-2</v>
      </c>
      <c r="L58" s="2">
        <f>ROUND((H58)*(LEFT(M58,5)+1),0)</f>
        <v>830446</v>
      </c>
      <c r="M58" s="1240" t="str">
        <f>TEXT('MYP Assumptions'!$M$62,"0.00%")&amp;", projected increase"</f>
        <v>7.00%, projected increase</v>
      </c>
      <c r="O58" s="1527">
        <f t="shared" si="24"/>
        <v>6.9999735082112505E-2</v>
      </c>
      <c r="P58" s="2">
        <f>ROUND((L58)*(LEFT(Q58,5)+1),0)</f>
        <v>888577</v>
      </c>
      <c r="Q58" s="1240" t="str">
        <f>TEXT('MYP Assumptions'!$M$62,"0.00%")&amp;", projected increase"</f>
        <v>7.00%, projected increase</v>
      </c>
      <c r="S58" s="83">
        <f t="shared" si="25"/>
        <v>6.9999561095999557E-2</v>
      </c>
      <c r="T58" s="2">
        <f>ROUND((P58)*(LEFT(U58,5)+1),0)</f>
        <v>950777</v>
      </c>
      <c r="U58" s="81" t="str">
        <f>TEXT('MYP Assumptions'!$M$62,"0.00%")&amp;", projected increase"</f>
        <v>7.00%, projected increase</v>
      </c>
      <c r="W58" s="83">
        <f t="shared" si="26"/>
        <v>6.9999589809177129E-2</v>
      </c>
      <c r="X58" s="2">
        <f>ROUND((T58)*(LEFT(Y58,5)+1),0)</f>
        <v>1017331</v>
      </c>
      <c r="Y58" s="81" t="str">
        <f>TEXT('MYP Assumptions'!$M$62,"0.00%")&amp;", projected increase"</f>
        <v>7.00%, projected increase</v>
      </c>
      <c r="AA58" s="83">
        <f t="shared" si="27"/>
        <v>6.9999832896078071E-2</v>
      </c>
      <c r="AB58" s="2">
        <f>ROUND((X58)*(LEFT(AC58,5)+1),0)</f>
        <v>1088544</v>
      </c>
      <c r="AC58" s="81" t="str">
        <f>TEXT('MYP Assumptions'!$M$62,"0.00%")&amp;", projected increase"</f>
        <v>7.00%, projected increase</v>
      </c>
    </row>
    <row r="59" spans="1:29" x14ac:dyDescent="0.25">
      <c r="A59" s="1346"/>
      <c r="B59" s="1326" t="s">
        <v>88</v>
      </c>
      <c r="C59" s="1243" t="s">
        <v>81</v>
      </c>
      <c r="D59" s="2">
        <f>2955+1544</f>
        <v>4499</v>
      </c>
      <c r="E59" s="1240" t="str">
        <f>TEXT('MYP Assumptions'!$D$56,"0.00%")&amp;", SUI rate"</f>
        <v>0.05%, SUI rate</v>
      </c>
      <c r="F59" s="2"/>
      <c r="G59" s="1527">
        <f t="shared" si="22"/>
        <v>6.0013336296954878E-2</v>
      </c>
      <c r="H59" s="2">
        <f>3053+1716</f>
        <v>4769</v>
      </c>
      <c r="I59" s="1240" t="str">
        <f>TEXT('MYP Assumptions'!E56,"0.00%")&amp;", no rate change"</f>
        <v>0.05%, no rate change</v>
      </c>
      <c r="J59" s="66"/>
      <c r="K59" s="1527">
        <f t="shared" si="28"/>
        <v>1.6775005242189139E-2</v>
      </c>
      <c r="L59" s="2">
        <f>ROUND((L51+L40)*LEFT(M59,5),0)</f>
        <v>4849</v>
      </c>
      <c r="M59" s="1240" t="str">
        <f>TEXT('MYP Assumptions'!F56,"0.00%")&amp;", no rate change"</f>
        <v>0.05%, no rate change</v>
      </c>
      <c r="O59" s="1527">
        <f t="shared" si="24"/>
        <v>2.0004124561765313E-2</v>
      </c>
      <c r="P59" s="2">
        <f>ROUND((P51+P40)*LEFT(Q59,5),0)</f>
        <v>4946</v>
      </c>
      <c r="Q59" s="1240" t="str">
        <f>TEXT('MYP Assumptions'!G56,"0.00%")&amp;", no rate change"</f>
        <v>0.05%, no rate change</v>
      </c>
      <c r="S59" s="83">
        <f t="shared" si="25"/>
        <v>-9.9272139102304896E-2</v>
      </c>
      <c r="T59" s="2">
        <f>ROUND((T51+T40)*LEFT(U59,5),0)</f>
        <v>4455</v>
      </c>
      <c r="U59" s="81" t="str">
        <f>TEXT('MYP Assumptions'!H56,"0.00%")&amp;", no rate change"</f>
        <v>0.05%, no rate change</v>
      </c>
      <c r="W59" s="83">
        <f t="shared" si="26"/>
        <v>1.9753086419753086E-2</v>
      </c>
      <c r="X59" s="2">
        <f>ROUND((X51+X40)*LEFT(Y59,5),0)</f>
        <v>4543</v>
      </c>
      <c r="Y59" s="81" t="str">
        <f>TEXT('MYP Assumptions'!I56,"0.00%")&amp;", no rate change"</f>
        <v>0.05%, no rate change</v>
      </c>
      <c r="AA59" s="83">
        <f t="shared" si="27"/>
        <v>2.0030816640986132E-2</v>
      </c>
      <c r="AB59" s="2">
        <f>ROUND((AB51+AB40)*LEFT(AC59,5),0)</f>
        <v>4634</v>
      </c>
      <c r="AC59" s="81" t="str">
        <f>TEXT('MYP Assumptions'!J56,"0.00%")&amp;", no rate change"</f>
        <v>0.05%, no rate change</v>
      </c>
    </row>
    <row r="60" spans="1:29" x14ac:dyDescent="0.25">
      <c r="A60" s="1346"/>
      <c r="B60" s="1326" t="s">
        <v>89</v>
      </c>
      <c r="C60" s="1243" t="s">
        <v>82</v>
      </c>
      <c r="D60" s="2">
        <f>64807+34177</f>
        <v>98984</v>
      </c>
      <c r="E60" s="1240" t="str">
        <f>TEXT('MYP Assumptions'!$D$57,"0.00%")&amp;", W/C rate"</f>
        <v>1.10%, W/C rate</v>
      </c>
      <c r="F60" s="2"/>
      <c r="G60" s="1527">
        <f t="shared" si="22"/>
        <v>5.8585225895094156E-2</v>
      </c>
      <c r="H60" s="2">
        <f>67042+37741</f>
        <v>104783</v>
      </c>
      <c r="I60" s="1240" t="str">
        <f>TEXT('MYP Assumptions'!E57,"0.00%")&amp;", no rate change"</f>
        <v>1.10%, no rate change</v>
      </c>
      <c r="J60" s="66"/>
      <c r="K60" s="1527">
        <f t="shared" si="28"/>
        <v>1.8123168834639207E-2</v>
      </c>
      <c r="L60" s="2">
        <f>ROUND((L51+L40)*LEFT(M60,5),0)</f>
        <v>106682</v>
      </c>
      <c r="M60" s="1240" t="str">
        <f>TEXT('MYP Assumptions'!F57,"0.00%")&amp;", no rate change"</f>
        <v>1.10%, no rate change</v>
      </c>
      <c r="O60" s="1527">
        <f t="shared" si="24"/>
        <v>2.0040869125063272E-2</v>
      </c>
      <c r="P60" s="2">
        <f>ROUND((P51+P40)*LEFT(Q60,5),0)</f>
        <v>108820</v>
      </c>
      <c r="Q60" s="1240" t="str">
        <f>TEXT('MYP Assumptions'!G57,"0.00%")&amp;", no rate change"</f>
        <v>1.10%, no rate change</v>
      </c>
      <c r="S60" s="83">
        <f t="shared" si="25"/>
        <v>-9.9338356919683887E-2</v>
      </c>
      <c r="T60" s="2">
        <f>ROUND((T51+T40)*LEFT(U60,5),0)</f>
        <v>98010</v>
      </c>
      <c r="U60" s="81" t="str">
        <f>TEXT('MYP Assumptions'!H57,"0.00%")&amp;", no rate change"</f>
        <v>1.10%, no rate change</v>
      </c>
      <c r="W60" s="83">
        <f t="shared" si="26"/>
        <v>1.9844913784307725E-2</v>
      </c>
      <c r="X60" s="2">
        <f>ROUND((X51+X40)*LEFT(Y60,5),0)</f>
        <v>99955</v>
      </c>
      <c r="Y60" s="81" t="str">
        <f>TEXT('MYP Assumptions'!I57,"0.00%")&amp;", no rate change"</f>
        <v>1.10%, no rate change</v>
      </c>
      <c r="AA60" s="83">
        <f t="shared" si="27"/>
        <v>1.9848932019408735E-2</v>
      </c>
      <c r="AB60" s="2">
        <f>ROUND((AB51+AB40)*LEFT(AC60,5),0)</f>
        <v>101939</v>
      </c>
      <c r="AC60" s="81" t="str">
        <f>TEXT('MYP Assumptions'!J57,"0.00%")&amp;", no rate change"</f>
        <v>1.10%, no rate change</v>
      </c>
    </row>
    <row r="61" spans="1:29" x14ac:dyDescent="0.25">
      <c r="A61" s="1346"/>
      <c r="B61" s="1326" t="s">
        <v>91</v>
      </c>
      <c r="C61" s="1243" t="s">
        <v>93</v>
      </c>
      <c r="D61" s="2">
        <f>27390+15240+4760</f>
        <v>47390</v>
      </c>
      <c r="E61" s="1249"/>
      <c r="F61" s="2"/>
      <c r="G61" s="1527">
        <f t="shared" si="22"/>
        <v>4.7900400928465918E-2</v>
      </c>
      <c r="H61" s="2">
        <f>32100+14200+3360</f>
        <v>49660</v>
      </c>
      <c r="I61" s="1240" t="s">
        <v>166</v>
      </c>
      <c r="J61" s="66"/>
      <c r="K61" s="1527">
        <f t="shared" ref="K61" si="29">IF(H61=0,"0.00%",(L61-H61)/H61)</f>
        <v>0</v>
      </c>
      <c r="L61" s="2">
        <f>H61</f>
        <v>49660</v>
      </c>
      <c r="M61" s="1240" t="s">
        <v>166</v>
      </c>
      <c r="O61" s="1527">
        <f t="shared" si="24"/>
        <v>0</v>
      </c>
      <c r="P61" s="2">
        <f>L61</f>
        <v>49660</v>
      </c>
      <c r="Q61" s="1240" t="s">
        <v>166</v>
      </c>
      <c r="S61" s="83">
        <f t="shared" ref="S61" si="30">IF(P61=0,"0.00%",(T61-P61)/P61)</f>
        <v>0</v>
      </c>
      <c r="T61" s="2">
        <f>P61</f>
        <v>49660</v>
      </c>
      <c r="U61" s="81" t="s">
        <v>166</v>
      </c>
      <c r="W61" s="83">
        <f t="shared" ref="W61" si="31">IF(T61=0,"0.00%",(X61-T61)/T61)</f>
        <v>0</v>
      </c>
      <c r="X61" s="2">
        <f>T61</f>
        <v>49660</v>
      </c>
      <c r="Y61" s="81" t="s">
        <v>166</v>
      </c>
      <c r="AA61" s="83">
        <f t="shared" ref="AA61" si="32">IF(X61=0,"0.00%",(AB61-X61)/X61)</f>
        <v>0</v>
      </c>
      <c r="AB61" s="2">
        <f>X61</f>
        <v>49660</v>
      </c>
      <c r="AC61" s="81" t="s">
        <v>166</v>
      </c>
    </row>
    <row r="62" spans="1:29" x14ac:dyDescent="0.25">
      <c r="A62" s="1346"/>
      <c r="B62" s="1326"/>
      <c r="E62" s="1249"/>
      <c r="F62" s="2"/>
      <c r="G62" s="1527" t="str">
        <f t="shared" si="22"/>
        <v xml:space="preserve"> - </v>
      </c>
      <c r="H62" s="2"/>
      <c r="I62" s="1240"/>
      <c r="J62" s="66"/>
      <c r="K62" s="1527"/>
      <c r="L62" s="2"/>
      <c r="M62" s="1240"/>
      <c r="O62" s="1527"/>
      <c r="Q62" s="1240"/>
      <c r="S62" s="83"/>
      <c r="T62" s="2"/>
      <c r="U62" s="81"/>
      <c r="W62" s="83"/>
      <c r="X62" s="2"/>
      <c r="Y62" s="81"/>
      <c r="AA62" s="83"/>
      <c r="AB62" s="2"/>
      <c r="AC62" s="81"/>
    </row>
    <row r="63" spans="1:29" x14ac:dyDescent="0.25">
      <c r="A63" s="1348"/>
      <c r="B63" s="1326"/>
      <c r="D63" s="8">
        <f>SUM(D54:D62)</f>
        <v>2340405</v>
      </c>
      <c r="E63" s="1249"/>
      <c r="F63" s="2"/>
      <c r="G63" s="1527">
        <f t="shared" si="22"/>
        <v>0.14334185749902262</v>
      </c>
      <c r="H63" s="8">
        <f>SUM(H54:H62)</f>
        <v>2675883</v>
      </c>
      <c r="I63" s="1882">
        <f>+H63-D63</f>
        <v>335478</v>
      </c>
      <c r="J63" s="29"/>
      <c r="K63" s="1527">
        <f t="shared" si="28"/>
        <v>0.11991705167976328</v>
      </c>
      <c r="L63" s="8">
        <f>SUM(L54:L62)</f>
        <v>2996767</v>
      </c>
      <c r="M63" s="1882">
        <f>+L63-H63</f>
        <v>320884</v>
      </c>
      <c r="O63" s="1527">
        <f t="shared" si="24"/>
        <v>0.10587376329224127</v>
      </c>
      <c r="P63" s="8">
        <f>SUM(P54:P62)</f>
        <v>3314046</v>
      </c>
      <c r="Q63" s="1882">
        <f>+P63-L63</f>
        <v>317279</v>
      </c>
      <c r="S63" s="83">
        <f t="shared" si="25"/>
        <v>8.1776173293913249E-3</v>
      </c>
      <c r="T63" s="8">
        <f>SUM(T54:T62)</f>
        <v>3341147</v>
      </c>
      <c r="U63" s="73"/>
      <c r="W63" s="83">
        <f t="shared" si="26"/>
        <v>4.9810140050707136E-2</v>
      </c>
      <c r="X63" s="8">
        <f>SUM(X54:X62)</f>
        <v>3507570</v>
      </c>
      <c r="Y63" s="73"/>
      <c r="AA63" s="83">
        <f t="shared" si="27"/>
        <v>4.410774410774411E-2</v>
      </c>
      <c r="AB63" s="8">
        <f>SUM(AB54:AB62)</f>
        <v>3662281</v>
      </c>
      <c r="AC63" s="73"/>
    </row>
    <row r="64" spans="1:29" x14ac:dyDescent="0.25">
      <c r="A64" s="1343"/>
      <c r="B64" s="1326"/>
      <c r="E64" s="1249"/>
      <c r="F64" s="2"/>
      <c r="H64" s="2"/>
      <c r="I64" s="1257"/>
      <c r="J64" s="66"/>
      <c r="L64" s="2"/>
      <c r="M64" s="1335"/>
      <c r="O64" s="1527"/>
      <c r="Q64" s="1335"/>
      <c r="T64" s="2"/>
      <c r="U64" s="73"/>
      <c r="X64" s="2"/>
      <c r="Y64" s="73"/>
      <c r="AB64" s="2"/>
      <c r="AC64" s="73"/>
    </row>
    <row r="65" spans="1:29" x14ac:dyDescent="0.25">
      <c r="A65" s="1348"/>
      <c r="B65" s="1323" t="s">
        <v>26</v>
      </c>
      <c r="D65" s="8">
        <f>SUM(D63,D51,D40)</f>
        <v>11152398</v>
      </c>
      <c r="E65" s="1249"/>
      <c r="F65" s="2"/>
      <c r="G65" s="1527">
        <f>IF(D65=0,"0.00%",(H65-D65)/D65)</f>
        <v>9.4296939546095832E-2</v>
      </c>
      <c r="H65" s="8">
        <f>SUM(H63,H51,H40)</f>
        <v>12204035</v>
      </c>
      <c r="I65" s="1882">
        <f>+H65-D65</f>
        <v>1051637</v>
      </c>
      <c r="J65" s="29"/>
      <c r="K65" s="1527">
        <f>IF(H65=0,"0.00%",(L65-H65)/H65)</f>
        <v>4.0243575178209499E-2</v>
      </c>
      <c r="L65" s="8">
        <f>SUM(L63,L51,L40)</f>
        <v>12695169</v>
      </c>
      <c r="M65" s="1882">
        <f>+L65-H65</f>
        <v>491134</v>
      </c>
      <c r="O65" s="1527">
        <f t="shared" si="24"/>
        <v>4.0301787238909544E-2</v>
      </c>
      <c r="P65" s="8">
        <f>SUM(P63,P51,P40)</f>
        <v>13206807</v>
      </c>
      <c r="Q65" s="1882">
        <f>+P65-L65</f>
        <v>511638</v>
      </c>
      <c r="S65" s="83">
        <f>IF(P65=0,"0.00%",(T65-P65)/P65)</f>
        <v>-7.2359503701386718E-2</v>
      </c>
      <c r="T65" s="8">
        <f>SUM(T63,T51,T40)</f>
        <v>12251169</v>
      </c>
      <c r="U65" s="73"/>
      <c r="W65" s="83">
        <f>IF(T65=0,"0.00%",(X65-T65)/T65)</f>
        <v>2.8017897720617517E-2</v>
      </c>
      <c r="X65" s="8">
        <f>SUM(X63,X51,X40)</f>
        <v>12594421</v>
      </c>
      <c r="Y65" s="73"/>
      <c r="AA65" s="83">
        <f>IF(X65=0,"0.00%",(AB65-X65)/X65)</f>
        <v>2.6605113486360351E-2</v>
      </c>
      <c r="AB65" s="8">
        <f>SUM(AB63,AB51,AB40)</f>
        <v>12929497</v>
      </c>
      <c r="AC65" s="73"/>
    </row>
    <row r="66" spans="1:29" x14ac:dyDescent="0.25">
      <c r="A66" s="1435"/>
      <c r="E66" s="1249"/>
      <c r="F66" s="2"/>
      <c r="H66" s="2"/>
      <c r="I66" s="1257"/>
      <c r="J66" s="66"/>
      <c r="L66" s="2"/>
      <c r="M66" s="1335"/>
      <c r="Q66" s="1335"/>
      <c r="T66" s="2"/>
      <c r="U66" s="73"/>
      <c r="X66" s="2"/>
      <c r="Y66" s="73"/>
      <c r="AB66" s="2"/>
      <c r="AC66" s="73"/>
    </row>
    <row r="67" spans="1:29" x14ac:dyDescent="0.25">
      <c r="A67" s="1346"/>
      <c r="E67" s="1249"/>
      <c r="F67" s="2"/>
      <c r="H67" s="2"/>
      <c r="I67" s="1257"/>
      <c r="J67" s="66"/>
      <c r="L67" s="2"/>
      <c r="M67" s="1335"/>
      <c r="Q67" s="1335"/>
      <c r="T67" s="2"/>
      <c r="U67" s="73"/>
      <c r="X67" s="2"/>
      <c r="Y67" s="73"/>
      <c r="AB67" s="2"/>
      <c r="AC67" s="73"/>
    </row>
    <row r="68" spans="1:29" x14ac:dyDescent="0.25">
      <c r="A68" s="1435"/>
      <c r="B68" s="1327" t="s">
        <v>25</v>
      </c>
      <c r="C68" s="1259"/>
      <c r="E68" s="1249"/>
      <c r="F68" s="2"/>
      <c r="H68" s="2"/>
      <c r="I68" s="1257"/>
      <c r="J68" s="66"/>
      <c r="L68" s="2"/>
      <c r="M68" s="1335"/>
      <c r="Q68" s="1335"/>
      <c r="T68" s="2"/>
      <c r="U68" s="73"/>
      <c r="X68" s="2"/>
      <c r="Y68" s="73"/>
      <c r="AB68" s="2"/>
      <c r="AC68" s="73"/>
    </row>
    <row r="69" spans="1:29" x14ac:dyDescent="0.25">
      <c r="A69" s="1346"/>
      <c r="B69" s="1326" t="s">
        <v>257</v>
      </c>
      <c r="C69" s="1243" t="s">
        <v>258</v>
      </c>
      <c r="D69" s="2">
        <v>39100</v>
      </c>
      <c r="E69" s="1249"/>
      <c r="F69" s="2"/>
      <c r="G69" s="1527">
        <f t="shared" ref="G69:G76" si="33">IF(D69=0,"0.00%",(H69-D69)/D69)</f>
        <v>-0.20140664961636828</v>
      </c>
      <c r="H69" s="2">
        <v>31225</v>
      </c>
      <c r="I69" s="1240"/>
      <c r="J69" s="66"/>
      <c r="K69" s="1527">
        <f t="shared" ref="K69:K76" si="34">IF(H69=0,"0.00%",(L69-H69)/H69)</f>
        <v>0</v>
      </c>
      <c r="L69" s="2">
        <f>+H69</f>
        <v>31225</v>
      </c>
      <c r="M69" s="1240" t="s">
        <v>174</v>
      </c>
      <c r="O69" s="1527">
        <f t="shared" ref="O69:O76" si="35">IF(L69=0,"0.00%",(P69-L69)/L69)</f>
        <v>0.24899919935948758</v>
      </c>
      <c r="P69" s="2">
        <v>39000</v>
      </c>
      <c r="Q69" s="1240" t="s">
        <v>174</v>
      </c>
      <c r="S69" s="83">
        <f t="shared" ref="S69:S76" si="36">IF(P69=0,"0.00%",(T69-P69)/P69)</f>
        <v>2.7307692307692307E-2</v>
      </c>
      <c r="T69" s="2">
        <f>ROUND(P69*(LEFT(U69,5)+1),0)</f>
        <v>40065</v>
      </c>
      <c r="U69" s="81" t="str">
        <f>TEXT('MYP Assumptions'!H72,"0.00%")&amp;", CPI"</f>
        <v>2.73%, CPI</v>
      </c>
      <c r="W69" s="83">
        <f t="shared" ref="W69:W76" si="37">IF(T69=0,"0.00%",(X69-T69)/T69)</f>
        <v>2.7305628353924871E-2</v>
      </c>
      <c r="X69" s="2">
        <f>ROUND(T69*(LEFT(Y69,5)+1),0)</f>
        <v>41159</v>
      </c>
      <c r="Y69" s="81" t="str">
        <f>TEXT('MYP Assumptions'!I72,"0.00%")&amp;", CPI"</f>
        <v>2.73%, CPI</v>
      </c>
      <c r="AA69" s="83">
        <f t="shared" ref="AA69:AA76" si="38">IF(X69=0,"0.00%",(AB69-X69)/X69)</f>
        <v>2.7308729560970871E-2</v>
      </c>
      <c r="AB69" s="2">
        <f>ROUND(X69*(LEFT(AC69,5)+1),0)</f>
        <v>42283</v>
      </c>
      <c r="AC69" s="81" t="str">
        <f>TEXT('MYP Assumptions'!J72,"0.00%")&amp;", CPI"</f>
        <v>2.73%, CPI</v>
      </c>
    </row>
    <row r="70" spans="1:29" hidden="1" x14ac:dyDescent="0.25">
      <c r="A70" s="1346"/>
      <c r="B70" s="1326"/>
      <c r="D70" s="2">
        <v>0</v>
      </c>
      <c r="E70" s="1249"/>
      <c r="F70" s="2"/>
      <c r="G70" s="1527" t="str">
        <f t="shared" si="33"/>
        <v>0.00%</v>
      </c>
      <c r="H70" s="2">
        <f t="shared" ref="H70:H75" si="39">ROUND(D70*(LEFT(I70,5)+1),0)</f>
        <v>0</v>
      </c>
      <c r="I70" s="1240" t="str">
        <f>TEXT('MYP Assumptions'!E72,"0.00%")&amp;", CPI"</f>
        <v>3.11%, CPI</v>
      </c>
      <c r="J70" s="66"/>
      <c r="K70" s="1527" t="str">
        <f t="shared" si="34"/>
        <v>0.00%</v>
      </c>
      <c r="L70" s="2">
        <f t="shared" ref="L70:L75" si="40">ROUND(H70*(LEFT(M70,5)+1),0)</f>
        <v>0</v>
      </c>
      <c r="M70" s="1240" t="str">
        <f>TEXT('MYP Assumptions'!F72,"0.00%")&amp;", CPI"</f>
        <v>3.19%, CPI</v>
      </c>
      <c r="O70" s="1527" t="str">
        <f t="shared" si="35"/>
        <v>0.00%</v>
      </c>
      <c r="P70" s="2">
        <f t="shared" ref="P70:P75" si="41">ROUND(L70*(LEFT(Q70,5)+1),0)</f>
        <v>0</v>
      </c>
      <c r="Q70" s="1240" t="str">
        <f>TEXT('MYP Assumptions'!G72,"0.00%")&amp;", CPI"</f>
        <v>2.86%, CPI</v>
      </c>
      <c r="S70" s="83" t="str">
        <f t="shared" si="36"/>
        <v>0.00%</v>
      </c>
      <c r="T70" s="2">
        <f t="shared" ref="T70:T75" si="42">ROUND(P70*(LEFT(U70,5)+1),0)</f>
        <v>0</v>
      </c>
      <c r="U70" s="81" t="str">
        <f>TEXT('MYP Assumptions'!H72,"0.00%")&amp;", CPI"</f>
        <v>2.73%, CPI</v>
      </c>
      <c r="W70" s="83" t="str">
        <f t="shared" si="37"/>
        <v>0.00%</v>
      </c>
      <c r="X70" s="2">
        <f t="shared" ref="X70:X75" si="43">ROUND(T70*(LEFT(Y70,5)+1),0)</f>
        <v>0</v>
      </c>
      <c r="Y70" s="81" t="str">
        <f>TEXT('MYP Assumptions'!I72,"0.00%")&amp;", CPI"</f>
        <v>2.73%, CPI</v>
      </c>
      <c r="AA70" s="83" t="str">
        <f t="shared" si="38"/>
        <v>0.00%</v>
      </c>
      <c r="AB70" s="2">
        <f t="shared" ref="AB70:AB75" si="44">ROUND(X70*(LEFT(AC70,5)+1),0)</f>
        <v>0</v>
      </c>
      <c r="AC70" s="81" t="str">
        <f>TEXT('MYP Assumptions'!J72,"0.00%")&amp;", CPI"</f>
        <v>2.73%, CPI</v>
      </c>
    </row>
    <row r="71" spans="1:29" hidden="1" x14ac:dyDescent="0.25">
      <c r="A71" s="1346"/>
      <c r="B71" s="1326"/>
      <c r="D71" s="2">
        <v>0</v>
      </c>
      <c r="E71" s="1249"/>
      <c r="F71" s="2"/>
      <c r="G71" s="1527" t="str">
        <f t="shared" si="33"/>
        <v>0.00%</v>
      </c>
      <c r="H71" s="2">
        <f t="shared" si="39"/>
        <v>0</v>
      </c>
      <c r="I71" s="1240" t="str">
        <f>TEXT('MYP Assumptions'!E72,"0.00%")&amp;", CPI"</f>
        <v>3.11%, CPI</v>
      </c>
      <c r="J71" s="66"/>
      <c r="K71" s="1527" t="str">
        <f t="shared" si="34"/>
        <v>0.00%</v>
      </c>
      <c r="L71" s="2">
        <f t="shared" si="40"/>
        <v>0</v>
      </c>
      <c r="M71" s="1240" t="str">
        <f>TEXT('MYP Assumptions'!F72,"0.00%")&amp;", CPI"</f>
        <v>3.19%, CPI</v>
      </c>
      <c r="O71" s="1527" t="str">
        <f t="shared" si="35"/>
        <v>0.00%</v>
      </c>
      <c r="P71" s="2">
        <f t="shared" si="41"/>
        <v>0</v>
      </c>
      <c r="Q71" s="1240" t="str">
        <f>TEXT('MYP Assumptions'!G72,"0.00%")&amp;", CPI"</f>
        <v>2.86%, CPI</v>
      </c>
      <c r="S71" s="83" t="str">
        <f t="shared" si="36"/>
        <v>0.00%</v>
      </c>
      <c r="T71" s="2">
        <f t="shared" si="42"/>
        <v>0</v>
      </c>
      <c r="U71" s="81" t="str">
        <f>TEXT('MYP Assumptions'!H72,"0.00%")&amp;", CPI"</f>
        <v>2.73%, CPI</v>
      </c>
      <c r="W71" s="83" t="str">
        <f t="shared" si="37"/>
        <v>0.00%</v>
      </c>
      <c r="X71" s="2">
        <f t="shared" si="43"/>
        <v>0</v>
      </c>
      <c r="Y71" s="81" t="str">
        <f>TEXT('MYP Assumptions'!I72,"0.00%")&amp;", CPI"</f>
        <v>2.73%, CPI</v>
      </c>
      <c r="AA71" s="83" t="str">
        <f t="shared" si="38"/>
        <v>0.00%</v>
      </c>
      <c r="AB71" s="2">
        <f t="shared" si="44"/>
        <v>0</v>
      </c>
      <c r="AC71" s="81" t="str">
        <f>TEXT('MYP Assumptions'!J72,"0.00%")&amp;", CPI"</f>
        <v>2.73%, CPI</v>
      </c>
    </row>
    <row r="72" spans="1:29" hidden="1" x14ac:dyDescent="0.25">
      <c r="A72" s="1346"/>
      <c r="B72" s="1326"/>
      <c r="D72" s="2">
        <v>0</v>
      </c>
      <c r="E72" s="1249"/>
      <c r="F72" s="2"/>
      <c r="G72" s="1527" t="str">
        <f t="shared" si="33"/>
        <v>0.00%</v>
      </c>
      <c r="H72" s="2">
        <f t="shared" si="39"/>
        <v>0</v>
      </c>
      <c r="I72" s="1240" t="str">
        <f>TEXT('MYP Assumptions'!E72,"0.00%")&amp;", CPI"</f>
        <v>3.11%, CPI</v>
      </c>
      <c r="J72" s="66"/>
      <c r="K72" s="1527" t="str">
        <f t="shared" si="34"/>
        <v>0.00%</v>
      </c>
      <c r="L72" s="2">
        <f t="shared" si="40"/>
        <v>0</v>
      </c>
      <c r="M72" s="1240" t="str">
        <f>TEXT('MYP Assumptions'!F72,"0.00%")&amp;", CPI"</f>
        <v>3.19%, CPI</v>
      </c>
      <c r="O72" s="1527" t="str">
        <f t="shared" si="35"/>
        <v>0.00%</v>
      </c>
      <c r="P72" s="2">
        <f t="shared" si="41"/>
        <v>0</v>
      </c>
      <c r="Q72" s="1240" t="str">
        <f>TEXT('MYP Assumptions'!G72,"0.00%")&amp;", CPI"</f>
        <v>2.86%, CPI</v>
      </c>
      <c r="S72" s="83" t="str">
        <f t="shared" si="36"/>
        <v>0.00%</v>
      </c>
      <c r="T72" s="2">
        <f t="shared" si="42"/>
        <v>0</v>
      </c>
      <c r="U72" s="81" t="str">
        <f>TEXT('MYP Assumptions'!H72,"0.00%")&amp;", CPI"</f>
        <v>2.73%, CPI</v>
      </c>
      <c r="W72" s="83" t="str">
        <f t="shared" si="37"/>
        <v>0.00%</v>
      </c>
      <c r="X72" s="2">
        <f t="shared" si="43"/>
        <v>0</v>
      </c>
      <c r="Y72" s="81" t="str">
        <f>TEXT('MYP Assumptions'!I72,"0.00%")&amp;", CPI"</f>
        <v>2.73%, CPI</v>
      </c>
      <c r="AA72" s="83" t="str">
        <f t="shared" si="38"/>
        <v>0.00%</v>
      </c>
      <c r="AB72" s="2">
        <f t="shared" si="44"/>
        <v>0</v>
      </c>
      <c r="AC72" s="81" t="str">
        <f>TEXT('MYP Assumptions'!J72,"0.00%")&amp;", CPI"</f>
        <v>2.73%, CPI</v>
      </c>
    </row>
    <row r="73" spans="1:29" hidden="1" x14ac:dyDescent="0.25">
      <c r="A73" s="1346"/>
      <c r="B73" s="1326"/>
      <c r="D73" s="2">
        <v>0</v>
      </c>
      <c r="E73" s="1249"/>
      <c r="F73" s="2"/>
      <c r="G73" s="1527" t="str">
        <f t="shared" si="33"/>
        <v>0.00%</v>
      </c>
      <c r="H73" s="2">
        <f t="shared" si="39"/>
        <v>0</v>
      </c>
      <c r="I73" s="1240" t="str">
        <f>TEXT('MYP Assumptions'!E72,"0.00%")&amp;", CPI"</f>
        <v>3.11%, CPI</v>
      </c>
      <c r="J73" s="66"/>
      <c r="K73" s="1527" t="str">
        <f t="shared" si="34"/>
        <v>0.00%</v>
      </c>
      <c r="L73" s="2">
        <f t="shared" si="40"/>
        <v>0</v>
      </c>
      <c r="M73" s="1240" t="str">
        <f>TEXT('MYP Assumptions'!F72,"0.00%")&amp;", CPI"</f>
        <v>3.19%, CPI</v>
      </c>
      <c r="O73" s="1527" t="str">
        <f t="shared" si="35"/>
        <v>0.00%</v>
      </c>
      <c r="P73" s="2">
        <f t="shared" si="41"/>
        <v>0</v>
      </c>
      <c r="Q73" s="1240" t="str">
        <f>TEXT('MYP Assumptions'!G72,"0.00%")&amp;", CPI"</f>
        <v>2.86%, CPI</v>
      </c>
      <c r="S73" s="83" t="str">
        <f t="shared" si="36"/>
        <v>0.00%</v>
      </c>
      <c r="T73" s="2">
        <f t="shared" si="42"/>
        <v>0</v>
      </c>
      <c r="U73" s="81" t="str">
        <f>TEXT('MYP Assumptions'!H72,"0.00%")&amp;", CPI"</f>
        <v>2.73%, CPI</v>
      </c>
      <c r="W73" s="83" t="str">
        <f t="shared" si="37"/>
        <v>0.00%</v>
      </c>
      <c r="X73" s="2">
        <f t="shared" si="43"/>
        <v>0</v>
      </c>
      <c r="Y73" s="81" t="str">
        <f>TEXT('MYP Assumptions'!I72,"0.00%")&amp;", CPI"</f>
        <v>2.73%, CPI</v>
      </c>
      <c r="AA73" s="83" t="str">
        <f t="shared" si="38"/>
        <v>0.00%</v>
      </c>
      <c r="AB73" s="2">
        <f t="shared" si="44"/>
        <v>0</v>
      </c>
      <c r="AC73" s="81" t="str">
        <f>TEXT('MYP Assumptions'!J72,"0.00%")&amp;", CPI"</f>
        <v>2.73%, CPI</v>
      </c>
    </row>
    <row r="74" spans="1:29" hidden="1" x14ac:dyDescent="0.25">
      <c r="A74" s="1346"/>
      <c r="B74" s="1326"/>
      <c r="D74" s="2">
        <v>0</v>
      </c>
      <c r="E74" s="1249"/>
      <c r="F74" s="2"/>
      <c r="G74" s="1527" t="str">
        <f t="shared" si="33"/>
        <v>0.00%</v>
      </c>
      <c r="H74" s="2">
        <f t="shared" si="39"/>
        <v>0</v>
      </c>
      <c r="I74" s="1240" t="str">
        <f>TEXT('MYP Assumptions'!E72,"0.00%")&amp;", CPI"</f>
        <v>3.11%, CPI</v>
      </c>
      <c r="J74" s="66"/>
      <c r="K74" s="1527" t="str">
        <f t="shared" si="34"/>
        <v>0.00%</v>
      </c>
      <c r="L74" s="2">
        <f t="shared" si="40"/>
        <v>0</v>
      </c>
      <c r="M74" s="1240" t="str">
        <f>TEXT('MYP Assumptions'!F72,"0.00%")&amp;", CPI"</f>
        <v>3.19%, CPI</v>
      </c>
      <c r="O74" s="1527" t="str">
        <f t="shared" si="35"/>
        <v>0.00%</v>
      </c>
      <c r="P74" s="2">
        <f t="shared" si="41"/>
        <v>0</v>
      </c>
      <c r="Q74" s="1240" t="str">
        <f>TEXT('MYP Assumptions'!G72,"0.00%")&amp;", CPI"</f>
        <v>2.86%, CPI</v>
      </c>
      <c r="S74" s="83" t="str">
        <f t="shared" si="36"/>
        <v>0.00%</v>
      </c>
      <c r="T74" s="2">
        <f t="shared" si="42"/>
        <v>0</v>
      </c>
      <c r="U74" s="81" t="str">
        <f>TEXT('MYP Assumptions'!H72,"0.00%")&amp;", CPI"</f>
        <v>2.73%, CPI</v>
      </c>
      <c r="W74" s="83" t="str">
        <f t="shared" si="37"/>
        <v>0.00%</v>
      </c>
      <c r="X74" s="2">
        <f t="shared" si="43"/>
        <v>0</v>
      </c>
      <c r="Y74" s="81" t="str">
        <f>TEXT('MYP Assumptions'!I72,"0.00%")&amp;", CPI"</f>
        <v>2.73%, CPI</v>
      </c>
      <c r="AA74" s="83" t="str">
        <f t="shared" si="38"/>
        <v>0.00%</v>
      </c>
      <c r="AB74" s="2">
        <f t="shared" si="44"/>
        <v>0</v>
      </c>
      <c r="AC74" s="81" t="str">
        <f>TEXT('MYP Assumptions'!J72,"0.00%")&amp;", CPI"</f>
        <v>2.73%, CPI</v>
      </c>
    </row>
    <row r="75" spans="1:29" hidden="1" x14ac:dyDescent="0.25">
      <c r="A75" s="1346"/>
      <c r="B75" s="1326"/>
      <c r="C75" s="1328"/>
      <c r="D75" s="2">
        <v>0</v>
      </c>
      <c r="E75" s="1249"/>
      <c r="F75" s="2"/>
      <c r="G75" s="1527" t="str">
        <f t="shared" si="33"/>
        <v>0.00%</v>
      </c>
      <c r="H75" s="2">
        <f t="shared" si="39"/>
        <v>0</v>
      </c>
      <c r="I75" s="1240" t="str">
        <f>TEXT('MYP Assumptions'!E72,"0.00%")&amp;", CPI"</f>
        <v>3.11%, CPI</v>
      </c>
      <c r="J75" s="66"/>
      <c r="K75" s="1527" t="str">
        <f t="shared" si="34"/>
        <v>0.00%</v>
      </c>
      <c r="L75" s="2">
        <f t="shared" si="40"/>
        <v>0</v>
      </c>
      <c r="M75" s="1240" t="str">
        <f>TEXT('MYP Assumptions'!F72,"0.00%")&amp;", CPI"</f>
        <v>3.19%, CPI</v>
      </c>
      <c r="O75" s="1527" t="str">
        <f t="shared" si="35"/>
        <v>0.00%</v>
      </c>
      <c r="P75" s="2">
        <f t="shared" si="41"/>
        <v>0</v>
      </c>
      <c r="Q75" s="1240" t="str">
        <f>TEXT('MYP Assumptions'!G72,"0.00%")&amp;", CPI"</f>
        <v>2.86%, CPI</v>
      </c>
      <c r="S75" s="83" t="str">
        <f t="shared" si="36"/>
        <v>0.00%</v>
      </c>
      <c r="T75" s="2">
        <f t="shared" si="42"/>
        <v>0</v>
      </c>
      <c r="U75" s="81" t="str">
        <f>TEXT('MYP Assumptions'!H72,"0.00%")&amp;", CPI"</f>
        <v>2.73%, CPI</v>
      </c>
      <c r="W75" s="83" t="str">
        <f t="shared" si="37"/>
        <v>0.00%</v>
      </c>
      <c r="X75" s="2">
        <f t="shared" si="43"/>
        <v>0</v>
      </c>
      <c r="Y75" s="81" t="str">
        <f>TEXT('MYP Assumptions'!I72,"0.00%")&amp;", CPI"</f>
        <v>2.73%, CPI</v>
      </c>
      <c r="AA75" s="83" t="str">
        <f t="shared" si="38"/>
        <v>0.00%</v>
      </c>
      <c r="AB75" s="2">
        <f t="shared" si="44"/>
        <v>0</v>
      </c>
      <c r="AC75" s="81" t="str">
        <f>TEXT('MYP Assumptions'!J72,"0.00%")&amp;", CPI"</f>
        <v>2.73%, CPI</v>
      </c>
    </row>
    <row r="76" spans="1:29" x14ac:dyDescent="0.25">
      <c r="A76" s="1348"/>
      <c r="B76" s="1243"/>
      <c r="D76" s="8">
        <f>SUM(D69:D75)</f>
        <v>39100</v>
      </c>
      <c r="E76" s="1249"/>
      <c r="F76" s="2"/>
      <c r="G76" s="1527">
        <f t="shared" si="33"/>
        <v>-0.20140664961636828</v>
      </c>
      <c r="H76" s="8">
        <f>SUM(H69:H75)</f>
        <v>31225</v>
      </c>
      <c r="I76" s="1882">
        <f>+H76-D76</f>
        <v>-7875</v>
      </c>
      <c r="J76" s="29"/>
      <c r="K76" s="1527">
        <f t="shared" si="34"/>
        <v>0</v>
      </c>
      <c r="L76" s="8">
        <f>SUM(L69:L75)</f>
        <v>31225</v>
      </c>
      <c r="M76" s="1882">
        <f>+L76-H76</f>
        <v>0</v>
      </c>
      <c r="O76" s="1527">
        <f t="shared" si="35"/>
        <v>0.24899919935948758</v>
      </c>
      <c r="P76" s="8">
        <f>SUM(P69:P75)</f>
        <v>39000</v>
      </c>
      <c r="Q76" s="1882">
        <f>+P76-L76</f>
        <v>7775</v>
      </c>
      <c r="S76" s="83">
        <f t="shared" si="36"/>
        <v>2.7307692307692307E-2</v>
      </c>
      <c r="T76" s="8">
        <f>SUM(T69:T75)</f>
        <v>40065</v>
      </c>
      <c r="U76" s="73"/>
      <c r="W76" s="83">
        <f t="shared" si="37"/>
        <v>2.7305628353924871E-2</v>
      </c>
      <c r="X76" s="8">
        <f>SUM(X69:X75)</f>
        <v>41159</v>
      </c>
      <c r="Y76" s="73"/>
      <c r="AA76" s="83">
        <f t="shared" si="38"/>
        <v>2.7308729560970871E-2</v>
      </c>
      <c r="AB76" s="8">
        <f>SUM(AB69:AB75)</f>
        <v>42283</v>
      </c>
      <c r="AC76" s="73"/>
    </row>
    <row r="77" spans="1:29" x14ac:dyDescent="0.25">
      <c r="A77" s="1346"/>
      <c r="E77" s="1249"/>
      <c r="F77" s="2"/>
      <c r="H77" s="2"/>
      <c r="I77" s="1257"/>
      <c r="J77" s="66"/>
      <c r="L77" s="2"/>
      <c r="M77" s="1335"/>
      <c r="Q77" s="1335"/>
      <c r="T77" s="2"/>
      <c r="U77" s="73"/>
      <c r="X77" s="2"/>
      <c r="Y77" s="73"/>
      <c r="AB77" s="2"/>
      <c r="AC77" s="73"/>
    </row>
    <row r="78" spans="1:29" s="4" customFormat="1" x14ac:dyDescent="0.25">
      <c r="A78" s="1433"/>
      <c r="B78" s="1323" t="s">
        <v>16</v>
      </c>
      <c r="C78" s="1259"/>
      <c r="D78" s="6"/>
      <c r="E78" s="1250"/>
      <c r="F78" s="6"/>
      <c r="G78" s="1539"/>
      <c r="H78" s="6"/>
      <c r="I78" s="1259"/>
      <c r="J78" s="58"/>
      <c r="K78" s="1571"/>
      <c r="L78" s="6"/>
      <c r="M78" s="1337"/>
      <c r="O78" s="1571"/>
      <c r="P78" s="6"/>
      <c r="Q78" s="1337"/>
      <c r="R78" s="111"/>
      <c r="U78" s="71"/>
      <c r="Y78" s="71"/>
      <c r="AC78" s="71"/>
    </row>
    <row r="79" spans="1:29" x14ac:dyDescent="0.25">
      <c r="A79" s="1346"/>
      <c r="B79" s="1326">
        <v>5100</v>
      </c>
      <c r="C79" s="1243" t="s">
        <v>259</v>
      </c>
      <c r="D79" s="2">
        <v>2442594</v>
      </c>
      <c r="E79" s="1249"/>
      <c r="F79" s="2"/>
      <c r="G79" s="1527">
        <f t="shared" ref="G79:G84" si="45">IF(D79=0,"0.00%",(H79-D79)/D79)</f>
        <v>-8.9965422006276927E-2</v>
      </c>
      <c r="H79" s="2">
        <v>2222845</v>
      </c>
      <c r="I79" s="1240"/>
      <c r="J79" s="66"/>
      <c r="K79" s="1527">
        <f t="shared" ref="K79:K94" si="46">IF(H79=0,"0.00%",(L79-H79)/H79)</f>
        <v>0</v>
      </c>
      <c r="L79" s="2">
        <f>+H79</f>
        <v>2222845</v>
      </c>
      <c r="M79" s="1240"/>
      <c r="O79" s="1527">
        <f t="shared" ref="O79:O94" si="47">IF(L79=0,"0.00%",(P79-L79)/L79)</f>
        <v>0</v>
      </c>
      <c r="P79" s="2">
        <f>+L79</f>
        <v>2222845</v>
      </c>
      <c r="Q79" s="1240"/>
      <c r="S79" s="83">
        <f t="shared" ref="S79:S94" si="48">IF(P79=0,"0.00%",(T79-P79)/P79)</f>
        <v>2.7300149133205418E-2</v>
      </c>
      <c r="T79" s="2">
        <f>ROUND(P79*(LEFT(U79,5)+1),0)</f>
        <v>2283529</v>
      </c>
      <c r="U79" s="81" t="str">
        <f>TEXT('MYP Assumptions'!H72,"0.00%")&amp;", CPI"</f>
        <v>2.73%, CPI</v>
      </c>
      <c r="W79" s="83">
        <f t="shared" ref="W79:W94" si="49">IF(T79=0,"0.00%",(X79-T79)/T79)</f>
        <v>2.7299850363187855E-2</v>
      </c>
      <c r="X79" s="2">
        <f>ROUND(T79*(LEFT(Y79,5)+1),0)</f>
        <v>2345869</v>
      </c>
      <c r="Y79" s="81" t="str">
        <f>TEXT('MYP Assumptions'!I72,"0.00%")&amp;", CPI"</f>
        <v>2.73%, CPI</v>
      </c>
      <c r="AA79" s="83">
        <f t="shared" ref="AA79:AA94" si="50">IF(X79=0,"0.00%",(AB79-X79)/X79)</f>
        <v>2.7299904640881483E-2</v>
      </c>
      <c r="AB79" s="2">
        <f>ROUND(X79*(LEFT(AC79,5)+1),0)</f>
        <v>2409911</v>
      </c>
      <c r="AC79" s="81" t="str">
        <f>TEXT('MYP Assumptions'!J72,"0.00%")&amp;", CPI"</f>
        <v>2.73%, CPI</v>
      </c>
    </row>
    <row r="80" spans="1:29" x14ac:dyDescent="0.25">
      <c r="A80" s="1346"/>
      <c r="B80" s="1326">
        <v>5123</v>
      </c>
      <c r="C80" s="1243" t="s">
        <v>260</v>
      </c>
      <c r="D80" s="2">
        <v>246656</v>
      </c>
      <c r="E80" s="1249"/>
      <c r="F80" s="2"/>
      <c r="G80" s="1527">
        <f t="shared" si="45"/>
        <v>-0.54998053969901406</v>
      </c>
      <c r="H80" s="2">
        <f>246800+25000+50000-65000-129800-16000</f>
        <v>111000</v>
      </c>
      <c r="I80" s="1240"/>
      <c r="J80" s="66"/>
      <c r="K80" s="1527">
        <f t="shared" si="46"/>
        <v>-9.90990990990991E-2</v>
      </c>
      <c r="L80" s="2">
        <v>100000</v>
      </c>
      <c r="M80" s="1240"/>
      <c r="O80" s="1527">
        <f t="shared" si="47"/>
        <v>0</v>
      </c>
      <c r="P80" s="2">
        <f>+L80</f>
        <v>100000</v>
      </c>
      <c r="Q80" s="1240"/>
      <c r="S80" s="83">
        <f t="shared" si="48"/>
        <v>2.7300000000000001E-2</v>
      </c>
      <c r="T80" s="2">
        <f t="shared" ref="T80:T90" si="51">ROUND(P80*(LEFT(U80,5)+1),0)</f>
        <v>102730</v>
      </c>
      <c r="U80" s="81" t="str">
        <f>TEXT('MYP Assumptions'!H72,"0.00%")&amp;", CPI"</f>
        <v>2.73%, CPI</v>
      </c>
      <c r="W80" s="83">
        <f t="shared" si="49"/>
        <v>2.7304584834030955E-2</v>
      </c>
      <c r="X80" s="2">
        <f t="shared" ref="X80:X90" si="52">ROUND(T80*(LEFT(Y80,5)+1),0)</f>
        <v>105535</v>
      </c>
      <c r="Y80" s="81" t="str">
        <f>TEXT('MYP Assumptions'!I72,"0.00%")&amp;", CPI"</f>
        <v>2.73%, CPI</v>
      </c>
      <c r="AA80" s="83">
        <f t="shared" si="50"/>
        <v>2.7299000331643529E-2</v>
      </c>
      <c r="AB80" s="2">
        <f t="shared" ref="AB80:AB90" si="53">ROUND(X80*(LEFT(AC80,5)+1),0)</f>
        <v>108416</v>
      </c>
      <c r="AC80" s="81" t="str">
        <f>TEXT('MYP Assumptions'!J72,"0.00%")&amp;", CPI"</f>
        <v>2.73%, CPI</v>
      </c>
    </row>
    <row r="81" spans="1:29" x14ac:dyDescent="0.25">
      <c r="A81" s="1346"/>
      <c r="B81" s="1326">
        <v>5204</v>
      </c>
      <c r="C81" s="1243" t="s">
        <v>261</v>
      </c>
      <c r="D81" s="2">
        <v>9100</v>
      </c>
      <c r="E81" s="1249"/>
      <c r="F81" s="2"/>
      <c r="G81" s="1527">
        <f t="shared" si="45"/>
        <v>-0.11758241758241758</v>
      </c>
      <c r="H81" s="2">
        <v>8030</v>
      </c>
      <c r="I81" s="1240"/>
      <c r="J81" s="66"/>
      <c r="K81" s="1527">
        <f t="shared" si="46"/>
        <v>-0.68866749688667495</v>
      </c>
      <c r="L81" s="2">
        <v>2500</v>
      </c>
      <c r="M81" s="1240"/>
      <c r="O81" s="1527">
        <f t="shared" si="47"/>
        <v>0</v>
      </c>
      <c r="P81" s="2">
        <f>+L81</f>
        <v>2500</v>
      </c>
      <c r="Q81" s="1240"/>
      <c r="S81" s="83">
        <f t="shared" si="48"/>
        <v>2.7199999999999998E-2</v>
      </c>
      <c r="T81" s="2">
        <f t="shared" si="51"/>
        <v>2568</v>
      </c>
      <c r="U81" s="81" t="str">
        <f>TEXT('MYP Assumptions'!H72,"0.00%")&amp;", CPI"</f>
        <v>2.73%, CPI</v>
      </c>
      <c r="W81" s="83">
        <f t="shared" si="49"/>
        <v>2.7258566978193146E-2</v>
      </c>
      <c r="X81" s="2">
        <f t="shared" si="52"/>
        <v>2638</v>
      </c>
      <c r="Y81" s="81" t="str">
        <f>TEXT('MYP Assumptions'!I72,"0.00%")&amp;", CPI"</f>
        <v>2.73%, CPI</v>
      </c>
      <c r="AA81" s="83">
        <f t="shared" si="50"/>
        <v>2.7293404094010616E-2</v>
      </c>
      <c r="AB81" s="2">
        <f t="shared" si="53"/>
        <v>2710</v>
      </c>
      <c r="AC81" s="81" t="str">
        <f>TEXT('MYP Assumptions'!J72,"0.00%")&amp;", CPI"</f>
        <v>2.73%, CPI</v>
      </c>
    </row>
    <row r="82" spans="1:29" x14ac:dyDescent="0.25">
      <c r="A82" s="1346"/>
      <c r="B82" s="1326">
        <v>5213</v>
      </c>
      <c r="C82" s="1243" t="s">
        <v>262</v>
      </c>
      <c r="D82" s="2">
        <v>10415</v>
      </c>
      <c r="E82" s="1249"/>
      <c r="F82" s="2"/>
      <c r="G82" s="1527">
        <f t="shared" si="45"/>
        <v>-0.17666826692270762</v>
      </c>
      <c r="H82" s="2">
        <v>8575</v>
      </c>
      <c r="I82" s="1240"/>
      <c r="J82" s="66"/>
      <c r="K82" s="1527">
        <f t="shared" si="46"/>
        <v>-0.70845481049562686</v>
      </c>
      <c r="L82" s="2">
        <v>2500</v>
      </c>
      <c r="M82" s="1240"/>
      <c r="O82" s="1527">
        <f t="shared" si="47"/>
        <v>0</v>
      </c>
      <c r="P82" s="2">
        <f t="shared" ref="P82:P92" si="54">+L82</f>
        <v>2500</v>
      </c>
      <c r="Q82" s="1240"/>
      <c r="S82" s="83">
        <f t="shared" si="48"/>
        <v>2.7199999999999998E-2</v>
      </c>
      <c r="T82" s="2">
        <f t="shared" si="51"/>
        <v>2568</v>
      </c>
      <c r="U82" s="81" t="str">
        <f>TEXT('MYP Assumptions'!H72,"0.00%")&amp;", CPI"</f>
        <v>2.73%, CPI</v>
      </c>
      <c r="W82" s="83">
        <f t="shared" si="49"/>
        <v>2.7258566978193146E-2</v>
      </c>
      <c r="X82" s="2">
        <f t="shared" si="52"/>
        <v>2638</v>
      </c>
      <c r="Y82" s="81" t="str">
        <f>TEXT('MYP Assumptions'!I72,"0.00%")&amp;", CPI"</f>
        <v>2.73%, CPI</v>
      </c>
      <c r="AA82" s="83">
        <f t="shared" si="50"/>
        <v>2.7293404094010616E-2</v>
      </c>
      <c r="AB82" s="2">
        <f t="shared" si="53"/>
        <v>2710</v>
      </c>
      <c r="AC82" s="81" t="str">
        <f>TEXT('MYP Assumptions'!J72,"0.00%")&amp;", CPI"</f>
        <v>2.73%, CPI</v>
      </c>
    </row>
    <row r="83" spans="1:29" x14ac:dyDescent="0.25">
      <c r="A83" s="1346"/>
      <c r="B83" s="1326">
        <v>5310</v>
      </c>
      <c r="C83" s="1243" t="s">
        <v>12</v>
      </c>
      <c r="D83" s="2">
        <v>450</v>
      </c>
      <c r="E83" s="1249"/>
      <c r="F83" s="2"/>
      <c r="G83" s="1527">
        <f t="shared" si="45"/>
        <v>-0.66666666666666663</v>
      </c>
      <c r="H83" s="2">
        <v>150</v>
      </c>
      <c r="I83" s="1240"/>
      <c r="J83" s="66"/>
      <c r="K83" s="1527">
        <f t="shared" si="46"/>
        <v>0</v>
      </c>
      <c r="L83" s="2">
        <v>150</v>
      </c>
      <c r="M83" s="1240"/>
      <c r="O83" s="1527">
        <f t="shared" si="47"/>
        <v>0</v>
      </c>
      <c r="P83" s="2">
        <f t="shared" si="54"/>
        <v>150</v>
      </c>
      <c r="Q83" s="1240"/>
      <c r="S83" s="83">
        <f t="shared" si="48"/>
        <v>2.6666666666666668E-2</v>
      </c>
      <c r="T83" s="2">
        <f t="shared" si="51"/>
        <v>154</v>
      </c>
      <c r="U83" s="81" t="str">
        <f>TEXT('MYP Assumptions'!H72,"0.00%")&amp;", CPI"</f>
        <v>2.73%, CPI</v>
      </c>
      <c r="W83" s="83">
        <f t="shared" si="49"/>
        <v>2.5974025974025976E-2</v>
      </c>
      <c r="X83" s="2">
        <f t="shared" si="52"/>
        <v>158</v>
      </c>
      <c r="Y83" s="81" t="str">
        <f>TEXT('MYP Assumptions'!I72,"0.00%")&amp;", CPI"</f>
        <v>2.73%, CPI</v>
      </c>
      <c r="AA83" s="83">
        <f t="shared" si="50"/>
        <v>2.5316455696202531E-2</v>
      </c>
      <c r="AB83" s="2">
        <f t="shared" si="53"/>
        <v>162</v>
      </c>
      <c r="AC83" s="81" t="str">
        <f>TEXT('MYP Assumptions'!J72,"0.00%")&amp;", CPI"</f>
        <v>2.73%, CPI</v>
      </c>
    </row>
    <row r="84" spans="1:29" x14ac:dyDescent="0.25">
      <c r="A84" s="1346"/>
      <c r="B84" s="1326">
        <v>5603</v>
      </c>
      <c r="C84" s="1243" t="s">
        <v>263</v>
      </c>
      <c r="D84" s="2">
        <v>4472</v>
      </c>
      <c r="E84" s="1249"/>
      <c r="F84" s="2"/>
      <c r="G84" s="1527">
        <f t="shared" si="45"/>
        <v>-0.3146243291592129</v>
      </c>
      <c r="H84" s="2">
        <v>3065</v>
      </c>
      <c r="I84" s="1240"/>
      <c r="J84" s="66"/>
      <c r="K84" s="1527">
        <f t="shared" si="46"/>
        <v>-0.18433931484502447</v>
      </c>
      <c r="L84" s="2">
        <v>2500</v>
      </c>
      <c r="M84" s="1240"/>
      <c r="O84" s="1527">
        <f t="shared" si="47"/>
        <v>0</v>
      </c>
      <c r="P84" s="2">
        <f t="shared" si="54"/>
        <v>2500</v>
      </c>
      <c r="Q84" s="1240"/>
      <c r="S84" s="83">
        <f t="shared" si="48"/>
        <v>2.7199999999999998E-2</v>
      </c>
      <c r="T84" s="2">
        <f t="shared" si="51"/>
        <v>2568</v>
      </c>
      <c r="U84" s="81" t="str">
        <f>TEXT('MYP Assumptions'!H72,"0.00%")&amp;", CPI"</f>
        <v>2.73%, CPI</v>
      </c>
      <c r="W84" s="83">
        <f t="shared" si="49"/>
        <v>2.7258566978193146E-2</v>
      </c>
      <c r="X84" s="2">
        <f t="shared" si="52"/>
        <v>2638</v>
      </c>
      <c r="Y84" s="81" t="str">
        <f>TEXT('MYP Assumptions'!I72,"0.00%")&amp;", CPI"</f>
        <v>2.73%, CPI</v>
      </c>
      <c r="AA84" s="83">
        <f t="shared" si="50"/>
        <v>2.7293404094010616E-2</v>
      </c>
      <c r="AB84" s="2">
        <f t="shared" si="53"/>
        <v>2710</v>
      </c>
      <c r="AC84" s="81" t="str">
        <f>TEXT('MYP Assumptions'!J72,"0.00%")&amp;", CPI"</f>
        <v>2.73%, CPI</v>
      </c>
    </row>
    <row r="85" spans="1:29" x14ac:dyDescent="0.25">
      <c r="A85" s="1346"/>
      <c r="B85" s="1326">
        <v>5607</v>
      </c>
      <c r="C85" s="1243" t="s">
        <v>264</v>
      </c>
      <c r="D85" s="2">
        <v>500</v>
      </c>
      <c r="E85" s="1249"/>
      <c r="F85" s="2"/>
      <c r="G85" s="1527">
        <f>IF(D85=0,"0.00%",(H85-D85)/D85)</f>
        <v>-0.12</v>
      </c>
      <c r="H85" s="2">
        <v>440</v>
      </c>
      <c r="I85" s="1240"/>
      <c r="J85" s="66"/>
      <c r="K85" s="1527">
        <f t="shared" si="46"/>
        <v>-9.0909090909090912E-2</v>
      </c>
      <c r="L85" s="2">
        <v>400</v>
      </c>
      <c r="M85" s="1240"/>
      <c r="O85" s="1527">
        <f t="shared" si="47"/>
        <v>0</v>
      </c>
      <c r="P85" s="2">
        <f t="shared" si="54"/>
        <v>400</v>
      </c>
      <c r="Q85" s="1240"/>
      <c r="S85" s="83">
        <f t="shared" si="48"/>
        <v>2.75E-2</v>
      </c>
      <c r="T85" s="2">
        <f t="shared" si="51"/>
        <v>411</v>
      </c>
      <c r="U85" s="81" t="str">
        <f>TEXT('MYP Assumptions'!H72,"0.00%")&amp;", CPI"</f>
        <v>2.73%, CPI</v>
      </c>
      <c r="W85" s="83">
        <f t="shared" si="49"/>
        <v>2.6763990267639901E-2</v>
      </c>
      <c r="X85" s="2">
        <f t="shared" si="52"/>
        <v>422</v>
      </c>
      <c r="Y85" s="81" t="str">
        <f>TEXT('MYP Assumptions'!I72,"0.00%")&amp;", CPI"</f>
        <v>2.73%, CPI</v>
      </c>
      <c r="AA85" s="83">
        <f t="shared" si="50"/>
        <v>2.843601895734597E-2</v>
      </c>
      <c r="AB85" s="2">
        <f t="shared" si="53"/>
        <v>434</v>
      </c>
      <c r="AC85" s="81" t="str">
        <f>TEXT('MYP Assumptions'!J72,"0.00%")&amp;", CPI"</f>
        <v>2.73%, CPI</v>
      </c>
    </row>
    <row r="86" spans="1:29" x14ac:dyDescent="0.25">
      <c r="A86" s="1346"/>
      <c r="B86" s="1326">
        <v>5752</v>
      </c>
      <c r="C86" s="1243" t="s">
        <v>265</v>
      </c>
      <c r="D86" s="2">
        <v>150</v>
      </c>
      <c r="E86" s="1249"/>
      <c r="F86" s="2"/>
      <c r="G86" s="1527">
        <f t="shared" ref="G86:G94" si="55">IF(D86=0,"0.00%",(H86-D86)/D86)</f>
        <v>0</v>
      </c>
      <c r="H86" s="2">
        <v>150</v>
      </c>
      <c r="I86" s="1240"/>
      <c r="J86" s="66"/>
      <c r="K86" s="1527">
        <f t="shared" si="46"/>
        <v>0</v>
      </c>
      <c r="L86" s="2">
        <v>150</v>
      </c>
      <c r="M86" s="1240"/>
      <c r="O86" s="1527">
        <f t="shared" si="47"/>
        <v>0</v>
      </c>
      <c r="P86" s="2">
        <f t="shared" si="54"/>
        <v>150</v>
      </c>
      <c r="Q86" s="1240"/>
      <c r="S86" s="83">
        <f t="shared" si="48"/>
        <v>2.6666666666666668E-2</v>
      </c>
      <c r="T86" s="2">
        <f t="shared" si="51"/>
        <v>154</v>
      </c>
      <c r="U86" s="81" t="str">
        <f>TEXT('MYP Assumptions'!H72,"0.00%")&amp;", CPI"</f>
        <v>2.73%, CPI</v>
      </c>
      <c r="W86" s="83">
        <f t="shared" si="49"/>
        <v>2.5974025974025976E-2</v>
      </c>
      <c r="X86" s="2">
        <f t="shared" si="52"/>
        <v>158</v>
      </c>
      <c r="Y86" s="81" t="str">
        <f>TEXT('MYP Assumptions'!I72,"0.00%")&amp;", CPI"</f>
        <v>2.73%, CPI</v>
      </c>
      <c r="AA86" s="83">
        <f t="shared" si="50"/>
        <v>2.5316455696202531E-2</v>
      </c>
      <c r="AB86" s="2">
        <f t="shared" si="53"/>
        <v>162</v>
      </c>
      <c r="AC86" s="81" t="str">
        <f>TEXT('MYP Assumptions'!J72,"0.00%")&amp;", CPI"</f>
        <v>2.73%, CPI</v>
      </c>
    </row>
    <row r="87" spans="1:29" x14ac:dyDescent="0.25">
      <c r="A87" s="1346"/>
      <c r="B87" s="1326">
        <v>5804</v>
      </c>
      <c r="C87" s="1243" t="s">
        <v>266</v>
      </c>
      <c r="D87" s="2">
        <v>50000</v>
      </c>
      <c r="E87" s="1249"/>
      <c r="F87" s="2"/>
      <c r="G87" s="1527">
        <f t="shared" si="55"/>
        <v>0.3</v>
      </c>
      <c r="H87" s="2">
        <v>65000</v>
      </c>
      <c r="I87" s="1240"/>
      <c r="J87" s="66"/>
      <c r="K87" s="1527">
        <f t="shared" si="46"/>
        <v>-0.23076923076923078</v>
      </c>
      <c r="L87" s="2">
        <v>50000</v>
      </c>
      <c r="M87" s="1240"/>
      <c r="O87" s="1527">
        <f t="shared" si="47"/>
        <v>0</v>
      </c>
      <c r="P87" s="2">
        <f t="shared" si="54"/>
        <v>50000</v>
      </c>
      <c r="Q87" s="1240"/>
      <c r="S87" s="83">
        <f t="shared" si="48"/>
        <v>2.7300000000000001E-2</v>
      </c>
      <c r="T87" s="2">
        <f t="shared" si="51"/>
        <v>51365</v>
      </c>
      <c r="U87" s="81" t="str">
        <f>TEXT('MYP Assumptions'!H72,"0.00%")&amp;", CPI"</f>
        <v>2.73%, CPI</v>
      </c>
      <c r="W87" s="83">
        <f t="shared" si="49"/>
        <v>2.7294850579188162E-2</v>
      </c>
      <c r="X87" s="2">
        <f t="shared" si="52"/>
        <v>52767</v>
      </c>
      <c r="Y87" s="81" t="str">
        <f>TEXT('MYP Assumptions'!I72,"0.00%")&amp;", CPI"</f>
        <v>2.73%, CPI</v>
      </c>
      <c r="AA87" s="83">
        <f t="shared" si="50"/>
        <v>2.7308734625807796E-2</v>
      </c>
      <c r="AB87" s="2">
        <f t="shared" si="53"/>
        <v>54208</v>
      </c>
      <c r="AC87" s="81" t="str">
        <f>TEXT('MYP Assumptions'!J72,"0.00%")&amp;", CPI"</f>
        <v>2.73%, CPI</v>
      </c>
    </row>
    <row r="88" spans="1:29" x14ac:dyDescent="0.25">
      <c r="A88" s="1346"/>
      <c r="B88" s="1326">
        <v>5806</v>
      </c>
      <c r="C88" s="1243" t="s">
        <v>267</v>
      </c>
      <c r="D88" s="2">
        <v>250</v>
      </c>
      <c r="E88" s="1249"/>
      <c r="F88" s="2"/>
      <c r="G88" s="1527">
        <f t="shared" si="55"/>
        <v>0</v>
      </c>
      <c r="H88" s="2">
        <v>250</v>
      </c>
      <c r="I88" s="1240"/>
      <c r="J88" s="66"/>
      <c r="K88" s="1527">
        <f t="shared" si="46"/>
        <v>0</v>
      </c>
      <c r="L88" s="2">
        <v>250</v>
      </c>
      <c r="M88" s="1240"/>
      <c r="O88" s="1527">
        <f t="shared" si="47"/>
        <v>0</v>
      </c>
      <c r="P88" s="2">
        <f t="shared" si="54"/>
        <v>250</v>
      </c>
      <c r="Q88" s="1240"/>
      <c r="S88" s="83">
        <f t="shared" si="48"/>
        <v>2.8000000000000001E-2</v>
      </c>
      <c r="T88" s="2">
        <f t="shared" si="51"/>
        <v>257</v>
      </c>
      <c r="U88" s="81" t="str">
        <f>TEXT('MYP Assumptions'!H72,"0.00%")&amp;", CPI"</f>
        <v>2.73%, CPI</v>
      </c>
      <c r="W88" s="83">
        <f t="shared" si="49"/>
        <v>2.7237354085603113E-2</v>
      </c>
      <c r="X88" s="2">
        <f t="shared" si="52"/>
        <v>264</v>
      </c>
      <c r="Y88" s="81" t="str">
        <f>TEXT('MYP Assumptions'!I72,"0.00%")&amp;", CPI"</f>
        <v>2.73%, CPI</v>
      </c>
      <c r="AA88" s="83">
        <f t="shared" si="50"/>
        <v>2.6515151515151516E-2</v>
      </c>
      <c r="AB88" s="2">
        <f t="shared" si="53"/>
        <v>271</v>
      </c>
      <c r="AC88" s="81" t="str">
        <f>TEXT('MYP Assumptions'!J72,"0.00%")&amp;", CPI"</f>
        <v>2.73%, CPI</v>
      </c>
    </row>
    <row r="89" spans="1:29" x14ac:dyDescent="0.25">
      <c r="A89" s="1346"/>
      <c r="B89" s="1326">
        <v>5810</v>
      </c>
      <c r="C89" s="1243" t="s">
        <v>268</v>
      </c>
      <c r="D89" s="2">
        <v>5070</v>
      </c>
      <c r="E89" s="1249"/>
      <c r="F89" s="2"/>
      <c r="G89" s="1527">
        <f t="shared" si="55"/>
        <v>-1.3806706114398421E-2</v>
      </c>
      <c r="H89" s="2">
        <v>5000</v>
      </c>
      <c r="I89" s="1240"/>
      <c r="J89" s="66"/>
      <c r="K89" s="1527">
        <f t="shared" si="46"/>
        <v>-0.5</v>
      </c>
      <c r="L89" s="2">
        <v>2500</v>
      </c>
      <c r="M89" s="1240"/>
      <c r="O89" s="1527">
        <f t="shared" si="47"/>
        <v>0</v>
      </c>
      <c r="P89" s="2">
        <f t="shared" si="54"/>
        <v>2500</v>
      </c>
      <c r="Q89" s="1240"/>
      <c r="S89" s="83">
        <f t="shared" si="48"/>
        <v>2.7199999999999998E-2</v>
      </c>
      <c r="T89" s="2">
        <f t="shared" si="51"/>
        <v>2568</v>
      </c>
      <c r="U89" s="81" t="str">
        <f>TEXT('MYP Assumptions'!H72,"0.00%")&amp;", CPI"</f>
        <v>2.73%, CPI</v>
      </c>
      <c r="W89" s="83">
        <f t="shared" si="49"/>
        <v>2.7258566978193146E-2</v>
      </c>
      <c r="X89" s="2">
        <f t="shared" si="52"/>
        <v>2638</v>
      </c>
      <c r="Y89" s="81" t="str">
        <f>TEXT('MYP Assumptions'!I72,"0.00%")&amp;", CPI"</f>
        <v>2.73%, CPI</v>
      </c>
      <c r="AA89" s="83">
        <f t="shared" si="50"/>
        <v>2.7293404094010616E-2</v>
      </c>
      <c r="AB89" s="2">
        <f t="shared" si="53"/>
        <v>2710</v>
      </c>
      <c r="AC89" s="81" t="str">
        <f>TEXT('MYP Assumptions'!J72,"0.00%")&amp;", CPI"</f>
        <v>2.73%, CPI</v>
      </c>
    </row>
    <row r="90" spans="1:29" x14ac:dyDescent="0.25">
      <c r="A90" s="1346"/>
      <c r="B90" s="1326">
        <v>5813</v>
      </c>
      <c r="C90" s="1243" t="s">
        <v>6</v>
      </c>
      <c r="D90" s="2">
        <v>75400</v>
      </c>
      <c r="E90" s="1249"/>
      <c r="F90" s="2"/>
      <c r="G90" s="1527">
        <f t="shared" si="55"/>
        <v>0</v>
      </c>
      <c r="H90" s="2">
        <v>75400</v>
      </c>
      <c r="I90" s="1240"/>
      <c r="J90" s="66"/>
      <c r="K90" s="1527">
        <f t="shared" si="46"/>
        <v>-0.13793103448275862</v>
      </c>
      <c r="L90" s="2">
        <v>65000</v>
      </c>
      <c r="M90" s="1240"/>
      <c r="O90" s="1527">
        <f t="shared" si="47"/>
        <v>0</v>
      </c>
      <c r="P90" s="2">
        <f t="shared" si="54"/>
        <v>65000</v>
      </c>
      <c r="Q90" s="1240"/>
      <c r="S90" s="83">
        <f t="shared" si="48"/>
        <v>2.7307692307692307E-2</v>
      </c>
      <c r="T90" s="2">
        <f t="shared" si="51"/>
        <v>66775</v>
      </c>
      <c r="U90" s="81" t="str">
        <f>TEXT('MYP Assumptions'!$H$72,"0.00%")&amp;", CPI"</f>
        <v>2.73%, CPI</v>
      </c>
      <c r="W90" s="83">
        <f t="shared" si="49"/>
        <v>2.7300636465743166E-2</v>
      </c>
      <c r="X90" s="2">
        <f t="shared" si="52"/>
        <v>68598</v>
      </c>
      <c r="Y90" s="81" t="str">
        <f>TEXT('MYP Assumptions'!$I$72,"0.00%")&amp;", CPI"</f>
        <v>2.73%, CPI</v>
      </c>
      <c r="AA90" s="83">
        <f t="shared" si="50"/>
        <v>2.7304003032158373E-2</v>
      </c>
      <c r="AB90" s="2">
        <f t="shared" si="53"/>
        <v>70471</v>
      </c>
      <c r="AC90" s="81" t="str">
        <f>TEXT('MYP Assumptions'!$J$72,"0.00%")&amp;", CPI"</f>
        <v>2.73%, CPI</v>
      </c>
    </row>
    <row r="91" spans="1:29" x14ac:dyDescent="0.25">
      <c r="A91" s="1346"/>
      <c r="B91" s="1326">
        <v>5814</v>
      </c>
      <c r="C91" s="1243" t="s">
        <v>4</v>
      </c>
      <c r="D91" s="2">
        <v>74825</v>
      </c>
      <c r="E91" s="1249"/>
      <c r="F91" s="2"/>
      <c r="G91" s="1527">
        <f t="shared" si="55"/>
        <v>0.14533912462412296</v>
      </c>
      <c r="H91" s="2">
        <v>85700</v>
      </c>
      <c r="I91" s="1240"/>
      <c r="J91" s="66"/>
      <c r="K91" s="1527">
        <f t="shared" ref="K91:K92" si="56">IF(H91=0,"0.00%",(L91-H91)/H91)</f>
        <v>-0.12485414235705951</v>
      </c>
      <c r="L91" s="2">
        <v>75000</v>
      </c>
      <c r="M91" s="1240"/>
      <c r="O91" s="1527">
        <f t="shared" ref="O91:O92" si="57">IF(L91=0,"0.00%",(P91-L91)/L91)</f>
        <v>0</v>
      </c>
      <c r="P91" s="2">
        <f t="shared" si="54"/>
        <v>75000</v>
      </c>
      <c r="Q91" s="1240"/>
      <c r="S91" s="83">
        <f t="shared" ref="S91:S92" si="58">IF(P91=0,"0.00%",(T91-P91)/P91)</f>
        <v>2.7306666666666667E-2</v>
      </c>
      <c r="T91" s="2">
        <f t="shared" ref="T91:T92" si="59">ROUND(P91*(LEFT(U91,5)+1),0)</f>
        <v>77048</v>
      </c>
      <c r="U91" s="81" t="str">
        <f>TEXT('MYP Assumptions'!$H$72,"0.00%")&amp;", CPI"</f>
        <v>2.73%, CPI</v>
      </c>
      <c r="W91" s="83">
        <f t="shared" ref="W91:W92" si="60">IF(T91=0,"0.00%",(X91-T91)/T91)</f>
        <v>2.7294673450316685E-2</v>
      </c>
      <c r="X91" s="2">
        <f t="shared" ref="X91:X92" si="61">ROUND(T91*(LEFT(Y91,5)+1),0)</f>
        <v>79151</v>
      </c>
      <c r="Y91" s="81" t="str">
        <f>TEXT('MYP Assumptions'!$I$72,"0.00%")&amp;", CPI"</f>
        <v>2.73%, CPI</v>
      </c>
      <c r="AA91" s="83">
        <f t="shared" ref="AA91:AA92" si="62">IF(X91=0,"0.00%",(AB91-X91)/X91)</f>
        <v>2.7302245075867645E-2</v>
      </c>
      <c r="AB91" s="2">
        <f t="shared" ref="AB91:AB92" si="63">ROUND(X91*(LEFT(AC91,5)+1),0)</f>
        <v>81312</v>
      </c>
      <c r="AC91" s="81" t="str">
        <f>TEXT('MYP Assumptions'!$J$72,"0.00%")&amp;", CPI"</f>
        <v>2.73%, CPI</v>
      </c>
    </row>
    <row r="92" spans="1:29" x14ac:dyDescent="0.25">
      <c r="A92" s="1346"/>
      <c r="B92" s="1326">
        <v>5817</v>
      </c>
      <c r="C92" s="1243" t="s">
        <v>269</v>
      </c>
      <c r="D92" s="2">
        <v>200</v>
      </c>
      <c r="E92" s="1249"/>
      <c r="F92" s="2"/>
      <c r="G92" s="1527">
        <f t="shared" si="55"/>
        <v>5.875</v>
      </c>
      <c r="H92" s="2">
        <v>1375</v>
      </c>
      <c r="I92" s="1240"/>
      <c r="J92" s="66"/>
      <c r="K92" s="1527">
        <f t="shared" si="56"/>
        <v>-0.27272727272727271</v>
      </c>
      <c r="L92" s="2">
        <v>1000</v>
      </c>
      <c r="M92" s="1240"/>
      <c r="O92" s="1527">
        <f t="shared" si="57"/>
        <v>0</v>
      </c>
      <c r="P92" s="2">
        <f t="shared" si="54"/>
        <v>1000</v>
      </c>
      <c r="Q92" s="1240"/>
      <c r="S92" s="83">
        <f t="shared" si="58"/>
        <v>2.7E-2</v>
      </c>
      <c r="T92" s="2">
        <f t="shared" si="59"/>
        <v>1027</v>
      </c>
      <c r="U92" s="81" t="str">
        <f>TEXT('MYP Assumptions'!$H$72,"0.00%")&amp;", CPI"</f>
        <v>2.73%, CPI</v>
      </c>
      <c r="W92" s="83">
        <f t="shared" si="60"/>
        <v>2.7263875365141188E-2</v>
      </c>
      <c r="X92" s="2">
        <f t="shared" si="61"/>
        <v>1055</v>
      </c>
      <c r="Y92" s="81" t="str">
        <f>TEXT('MYP Assumptions'!$I$72,"0.00%")&amp;", CPI"</f>
        <v>2.73%, CPI</v>
      </c>
      <c r="AA92" s="83">
        <f t="shared" si="62"/>
        <v>2.7488151658767772E-2</v>
      </c>
      <c r="AB92" s="2">
        <f t="shared" si="63"/>
        <v>1084</v>
      </c>
      <c r="AC92" s="81" t="str">
        <f>TEXT('MYP Assumptions'!$J$72,"0.00%")&amp;", CPI"</f>
        <v>2.73%, CPI</v>
      </c>
    </row>
    <row r="93" spans="1:29" x14ac:dyDescent="0.25">
      <c r="A93" s="1346"/>
      <c r="B93" s="1326"/>
      <c r="E93" s="1249"/>
      <c r="F93" s="2"/>
      <c r="G93" s="1527"/>
      <c r="H93" s="2"/>
      <c r="I93" s="1240"/>
      <c r="J93" s="66"/>
      <c r="K93" s="1527"/>
      <c r="L93" s="2"/>
      <c r="M93" s="1240"/>
      <c r="O93" s="1527"/>
      <c r="Q93" s="1240"/>
      <c r="S93" s="83"/>
      <c r="T93" s="2"/>
      <c r="U93" s="81"/>
      <c r="W93" s="83"/>
      <c r="X93" s="2"/>
      <c r="Y93" s="81"/>
      <c r="AA93" s="83"/>
      <c r="AB93" s="2"/>
      <c r="AC93" s="81"/>
    </row>
    <row r="94" spans="1:29" x14ac:dyDescent="0.25">
      <c r="A94" s="1348"/>
      <c r="D94" s="8">
        <f>SUM(D79:D93)</f>
        <v>2920082</v>
      </c>
      <c r="E94" s="1249"/>
      <c r="F94" s="2"/>
      <c r="G94" s="1527">
        <f t="shared" si="55"/>
        <v>-0.11407282398234023</v>
      </c>
      <c r="H94" s="8">
        <f>SUM(H79:H93)</f>
        <v>2586980</v>
      </c>
      <c r="I94" s="1882">
        <f>+H94-D94</f>
        <v>-333102</v>
      </c>
      <c r="J94" s="29"/>
      <c r="K94" s="1527">
        <f t="shared" si="46"/>
        <v>-2.4037681002558969E-2</v>
      </c>
      <c r="L94" s="8">
        <f>SUM(L79:L93)</f>
        <v>2524795</v>
      </c>
      <c r="M94" s="1882">
        <f>+L94-H94</f>
        <v>-62185</v>
      </c>
      <c r="O94" s="1527">
        <f t="shared" si="47"/>
        <v>0</v>
      </c>
      <c r="P94" s="8">
        <f>SUM(P79:P93)</f>
        <v>2524795</v>
      </c>
      <c r="Q94" s="1882">
        <f>+P94-L94</f>
        <v>0</v>
      </c>
      <c r="S94" s="83">
        <f t="shared" si="48"/>
        <v>2.7300038220924867E-2</v>
      </c>
      <c r="T94" s="8">
        <f>SUM(T79:T93)</f>
        <v>2593722</v>
      </c>
      <c r="U94" s="73"/>
      <c r="W94" s="83">
        <f t="shared" si="49"/>
        <v>2.7299379039079748E-2</v>
      </c>
      <c r="X94" s="8">
        <f>SUM(X79:X93)</f>
        <v>2664529</v>
      </c>
      <c r="Y94" s="73"/>
      <c r="AA94" s="83">
        <f t="shared" si="50"/>
        <v>2.7300134470294751E-2</v>
      </c>
      <c r="AB94" s="8">
        <f>SUM(AB79:AB93)</f>
        <v>2737271</v>
      </c>
      <c r="AC94" s="73"/>
    </row>
    <row r="95" spans="1:29" x14ac:dyDescent="0.25">
      <c r="A95" s="1346"/>
      <c r="B95" s="1323"/>
      <c r="E95" s="1249"/>
      <c r="F95" s="2"/>
      <c r="G95" s="1527"/>
      <c r="H95" s="2"/>
      <c r="I95" s="1257"/>
      <c r="J95" s="66"/>
      <c r="L95" s="2"/>
      <c r="M95" s="1335"/>
      <c r="Q95" s="1335"/>
      <c r="T95" s="2"/>
      <c r="U95" s="73"/>
      <c r="X95" s="2"/>
      <c r="Y95" s="73"/>
      <c r="AB95" s="2"/>
      <c r="AC95" s="73"/>
    </row>
    <row r="96" spans="1:29" x14ac:dyDescent="0.25">
      <c r="A96" s="1346"/>
      <c r="B96" s="1323" t="s">
        <v>544</v>
      </c>
      <c r="E96" s="1249"/>
      <c r="F96" s="2"/>
      <c r="G96" s="1527"/>
      <c r="H96" s="2"/>
      <c r="I96" s="1257"/>
      <c r="J96" s="66"/>
      <c r="L96" s="2"/>
      <c r="M96" s="1335"/>
      <c r="Q96" s="1335"/>
      <c r="T96" s="2"/>
      <c r="U96" s="73"/>
      <c r="X96" s="2"/>
      <c r="Y96" s="73"/>
      <c r="AB96" s="2"/>
      <c r="AC96" s="73"/>
    </row>
    <row r="97" spans="1:29" x14ac:dyDescent="0.25">
      <c r="A97" s="1346"/>
      <c r="B97" s="1326">
        <v>7142</v>
      </c>
      <c r="C97" s="1243" t="s">
        <v>270</v>
      </c>
      <c r="D97" s="2">
        <v>548974</v>
      </c>
      <c r="E97" s="1249"/>
      <c r="F97" s="2"/>
      <c r="G97" s="1527">
        <f t="shared" ref="G97:G99" si="64">IF(D97=0,"0.00%",(H97-D97)/D97)</f>
        <v>3.0198151460724916E-2</v>
      </c>
      <c r="H97" s="2">
        <v>565552</v>
      </c>
      <c r="I97" s="1240"/>
      <c r="J97" s="66"/>
      <c r="K97" s="1527">
        <f t="shared" ref="K97:K99" si="65">IF(H97=0,"0.00%",(L97-H97)/H97)</f>
        <v>0</v>
      </c>
      <c r="L97" s="2">
        <f>+H97</f>
        <v>565552</v>
      </c>
      <c r="M97" s="1240"/>
      <c r="O97" s="1527">
        <f t="shared" ref="O97:O99" si="66">IF(L97=0,"0.00%",(P97-L97)/L97)</f>
        <v>0</v>
      </c>
      <c r="P97" s="2">
        <f t="shared" ref="P97:P98" si="67">+L97</f>
        <v>565552</v>
      </c>
      <c r="Q97" s="1240"/>
      <c r="T97" s="2">
        <f>+P97</f>
        <v>565552</v>
      </c>
      <c r="U97" s="36" t="s">
        <v>174</v>
      </c>
      <c r="X97" s="2">
        <f>+T97</f>
        <v>565552</v>
      </c>
      <c r="Y97" s="36" t="s">
        <v>174</v>
      </c>
      <c r="AB97" s="2">
        <f>+X97</f>
        <v>565552</v>
      </c>
      <c r="AC97" s="36" t="s">
        <v>174</v>
      </c>
    </row>
    <row r="98" spans="1:29" x14ac:dyDescent="0.25">
      <c r="A98" s="1346"/>
      <c r="B98" s="1326">
        <v>7145</v>
      </c>
      <c r="C98" s="1243" t="s">
        <v>271</v>
      </c>
      <c r="D98" s="2">
        <v>755863</v>
      </c>
      <c r="E98" s="1249"/>
      <c r="F98" s="2"/>
      <c r="G98" s="1527">
        <f t="shared" si="64"/>
        <v>0.12635093925751095</v>
      </c>
      <c r="H98" s="2">
        <v>851367</v>
      </c>
      <c r="I98" s="1240"/>
      <c r="J98" s="66"/>
      <c r="K98" s="1527">
        <f t="shared" si="65"/>
        <v>0</v>
      </c>
      <c r="L98" s="2">
        <f>+H98</f>
        <v>851367</v>
      </c>
      <c r="M98" s="1240"/>
      <c r="O98" s="1527">
        <f t="shared" si="66"/>
        <v>0</v>
      </c>
      <c r="P98" s="2">
        <f t="shared" si="67"/>
        <v>851367</v>
      </c>
      <c r="Q98" s="1240"/>
      <c r="T98" s="2">
        <v>0</v>
      </c>
      <c r="U98" s="36"/>
      <c r="X98" s="2">
        <v>0</v>
      </c>
      <c r="Y98" s="36"/>
      <c r="AB98" s="2">
        <v>0</v>
      </c>
      <c r="AC98" s="36"/>
    </row>
    <row r="99" spans="1:29" x14ac:dyDescent="0.25">
      <c r="A99" s="1346"/>
      <c r="B99" s="1326">
        <v>7221</v>
      </c>
      <c r="C99" s="1243" t="s">
        <v>272</v>
      </c>
      <c r="D99" s="2">
        <v>31565</v>
      </c>
      <c r="E99" s="1249"/>
      <c r="F99" s="2"/>
      <c r="G99" s="1527">
        <f t="shared" si="64"/>
        <v>0.63475368287660383</v>
      </c>
      <c r="H99" s="2">
        <v>51601</v>
      </c>
      <c r="I99" s="1240"/>
      <c r="J99" s="66"/>
      <c r="K99" s="1527">
        <f t="shared" si="65"/>
        <v>0</v>
      </c>
      <c r="L99" s="2">
        <f>+H99</f>
        <v>51601</v>
      </c>
      <c r="M99" s="1240"/>
      <c r="O99" s="1527">
        <f t="shared" si="66"/>
        <v>0</v>
      </c>
      <c r="P99" s="2">
        <f>+L99</f>
        <v>51601</v>
      </c>
      <c r="Q99" s="1240"/>
      <c r="T99" s="2">
        <v>0</v>
      </c>
      <c r="U99" s="36"/>
      <c r="X99" s="2">
        <v>0</v>
      </c>
      <c r="Y99" s="36"/>
      <c r="AB99" s="2">
        <v>0</v>
      </c>
      <c r="AC99" s="36"/>
    </row>
    <row r="100" spans="1:29" ht="9" customHeight="1" x14ac:dyDescent="0.25">
      <c r="A100" s="1346"/>
      <c r="B100" s="1323"/>
      <c r="E100" s="1249"/>
      <c r="F100" s="2"/>
      <c r="G100" s="1527"/>
      <c r="H100" s="2"/>
      <c r="I100" s="1257"/>
      <c r="J100" s="66"/>
      <c r="L100" s="2"/>
      <c r="M100" s="1257"/>
      <c r="Q100" s="1257"/>
      <c r="T100" s="2"/>
      <c r="U100" s="36"/>
      <c r="X100" s="2"/>
      <c r="Y100" s="36"/>
      <c r="AB100" s="2"/>
      <c r="AC100" s="36"/>
    </row>
    <row r="101" spans="1:29" s="13" customFormat="1" x14ac:dyDescent="0.25">
      <c r="A101" s="1343"/>
      <c r="B101" s="1325"/>
      <c r="C101" s="1325"/>
      <c r="D101" s="161">
        <f>SUM(D97:D100)</f>
        <v>1336402</v>
      </c>
      <c r="E101" s="1247"/>
      <c r="F101" s="10"/>
      <c r="G101" s="1527">
        <f t="shared" ref="G101" si="68">IF(D101=0,"0.00%",(H101-D101)/D101)</f>
        <v>9.8860971474152237E-2</v>
      </c>
      <c r="H101" s="161">
        <f>SUM(H97:H100)</f>
        <v>1468520</v>
      </c>
      <c r="I101" s="1882">
        <f>+H101-D101</f>
        <v>132118</v>
      </c>
      <c r="J101" s="57"/>
      <c r="K101" s="1527">
        <f t="shared" ref="K101" si="69">IF(H101=0,"0.00%",(L101-H101)/H101)</f>
        <v>0</v>
      </c>
      <c r="L101" s="161">
        <f>SUM(L97:L100)</f>
        <v>1468520</v>
      </c>
      <c r="M101" s="1882">
        <f>+L101-H101</f>
        <v>0</v>
      </c>
      <c r="O101" s="1527">
        <f t="shared" ref="O101" si="70">IF(L101=0,"0.00%",(P101-L101)/L101)</f>
        <v>0</v>
      </c>
      <c r="P101" s="161">
        <f>SUM(P97:P100)</f>
        <v>1468520</v>
      </c>
      <c r="Q101" s="1882">
        <f>+P101-L101</f>
        <v>0</v>
      </c>
      <c r="R101" s="111"/>
      <c r="T101" s="161">
        <f>SUM(T97:T100)</f>
        <v>565552</v>
      </c>
      <c r="U101" s="6"/>
      <c r="X101" s="161">
        <f>SUM(X97:X100)</f>
        <v>565552</v>
      </c>
      <c r="Y101" s="6"/>
      <c r="AB101" s="161">
        <f>SUM(AB97:AB100)</f>
        <v>565552</v>
      </c>
      <c r="AC101" s="6"/>
    </row>
    <row r="102" spans="1:29" x14ac:dyDescent="0.25">
      <c r="A102" s="1346"/>
      <c r="E102" s="1249"/>
      <c r="F102" s="2"/>
      <c r="H102" s="2"/>
      <c r="I102" s="1257"/>
      <c r="J102" s="66"/>
      <c r="L102" s="2"/>
      <c r="M102" s="1257"/>
      <c r="Q102" s="1257"/>
      <c r="T102" s="2"/>
      <c r="U102" s="36"/>
      <c r="X102" s="2"/>
      <c r="Y102" s="36"/>
      <c r="AB102" s="2"/>
      <c r="AC102" s="36"/>
    </row>
    <row r="103" spans="1:29" x14ac:dyDescent="0.25">
      <c r="A103" s="1346"/>
      <c r="E103" s="1249"/>
      <c r="F103" s="2"/>
      <c r="H103" s="2"/>
      <c r="I103" s="1257"/>
      <c r="J103" s="66"/>
      <c r="L103" s="2"/>
      <c r="M103" s="1257"/>
      <c r="Q103" s="1257"/>
      <c r="T103" s="2"/>
      <c r="U103" s="36"/>
      <c r="X103" s="2"/>
      <c r="Y103" s="36"/>
      <c r="AB103" s="2"/>
      <c r="AC103" s="36"/>
    </row>
    <row r="104" spans="1:29" x14ac:dyDescent="0.25">
      <c r="A104" s="1348"/>
      <c r="B104" s="1323" t="s">
        <v>0</v>
      </c>
      <c r="D104" s="8">
        <f>SUM(D94,D76,D65,D16,D101)</f>
        <v>15866291</v>
      </c>
      <c r="E104" s="1249"/>
      <c r="F104" s="2"/>
      <c r="G104" s="1527">
        <f>IF(D104=0,"0.00%",(H104-D104)/D104)</f>
        <v>6.1700242356578484E-2</v>
      </c>
      <c r="H104" s="8">
        <f>SUM(H94,H76,H65,H16,H101)</f>
        <v>16845245</v>
      </c>
      <c r="I104" s="1882">
        <f>+H104-D104</f>
        <v>978954</v>
      </c>
      <c r="J104" s="29"/>
      <c r="K104" s="1527">
        <f>IF(H104=0,"0.00%",(L104-H104)/H104)</f>
        <v>2.6623714882152205E-2</v>
      </c>
      <c r="L104" s="8">
        <f>SUM(L94,L76,L65,L16,L101)</f>
        <v>17293728</v>
      </c>
      <c r="M104" s="1882">
        <f>+L104-H104</f>
        <v>448483</v>
      </c>
      <c r="O104" s="1527">
        <f>IF(L104=0,"0.00%",(P104-L104)/L104)</f>
        <v>3.1368308788018405E-2</v>
      </c>
      <c r="P104" s="8">
        <f>SUM(P94,P76,P65,P16,P101)</f>
        <v>17836203</v>
      </c>
      <c r="Q104" s="1882">
        <f>+P104-L104</f>
        <v>542475</v>
      </c>
      <c r="S104" s="83">
        <f>IF(P104=0,"0.00%",(T104-P104)/P104)</f>
        <v>-0.10782805062265775</v>
      </c>
      <c r="T104" s="8">
        <f>SUM(T94,T76,T65,T16,T101)</f>
        <v>15912960</v>
      </c>
      <c r="U104" s="5"/>
      <c r="W104" s="83">
        <f>IF(T104=0,"0.00%",(X104-T104)/T104)</f>
        <v>2.6902851512226513E-2</v>
      </c>
      <c r="X104" s="8">
        <f>SUM(X94,X76,X65,X16,X101)</f>
        <v>16341064</v>
      </c>
      <c r="Y104" s="5"/>
      <c r="AA104" s="83">
        <f>IF(X104=0,"0.00%",(AB104-X104)/X104)</f>
        <v>2.5799788802002122E-2</v>
      </c>
      <c r="AB104" s="8">
        <f>SUM(AB94,AB76,AB65,AB16,AB101)</f>
        <v>16762660</v>
      </c>
      <c r="AC104" s="5"/>
    </row>
    <row r="105" spans="1:29" x14ac:dyDescent="0.25">
      <c r="A105" s="1346"/>
      <c r="E105" s="1249"/>
      <c r="F105" s="2"/>
      <c r="H105" s="2"/>
      <c r="I105" s="1257"/>
      <c r="J105" s="66"/>
      <c r="L105" s="2"/>
      <c r="M105" s="1335"/>
      <c r="Q105" s="1335"/>
      <c r="T105" s="2"/>
      <c r="U105" s="73"/>
      <c r="X105" s="2"/>
      <c r="Y105" s="73"/>
      <c r="AB105" s="2"/>
      <c r="AC105" s="73"/>
    </row>
    <row r="106" spans="1:29" x14ac:dyDescent="0.25">
      <c r="A106" s="1346"/>
      <c r="B106" s="1323" t="s">
        <v>138</v>
      </c>
      <c r="D106" s="3">
        <f>D14-D104</f>
        <v>0</v>
      </c>
      <c r="G106" s="1527" t="str">
        <f>IF(D106=0,"0.00%",(H106-D106)/D106)</f>
        <v>0.00%</v>
      </c>
      <c r="H106" s="3">
        <f>H14-H104</f>
        <v>0</v>
      </c>
      <c r="I106" s="1257"/>
      <c r="J106" s="66"/>
      <c r="K106" s="1527" t="str">
        <f>IF(H106=0,"0.00%",(L106-H106)/H106)</f>
        <v>0.00%</v>
      </c>
      <c r="L106" s="3">
        <f>L14-L104</f>
        <v>0</v>
      </c>
      <c r="M106" s="1335"/>
      <c r="O106" s="1527" t="str">
        <f>IF(L106=0,"0.00%",(P106-L106)/L106)</f>
        <v>0.00%</v>
      </c>
      <c r="P106" s="3">
        <f>P14-P104</f>
        <v>0</v>
      </c>
      <c r="Q106" s="1335"/>
      <c r="S106" s="83" t="str">
        <f>IF(P106=0,"0.00%",(T106-P106)/P106)</f>
        <v>0.00%</v>
      </c>
      <c r="T106" s="3">
        <f>T14-T104</f>
        <v>2410902.8100000024</v>
      </c>
      <c r="U106" s="73"/>
      <c r="W106" s="83">
        <f>IF(T106=0,"0.00%",(X106-T106)/T106)</f>
        <v>-5.7497352247061295</v>
      </c>
      <c r="X106" s="3">
        <f>X14-X104</f>
        <v>-11451150</v>
      </c>
      <c r="Y106" s="73"/>
      <c r="AA106" s="83">
        <f>IF(X106=0,"0.00%",(AB106-X106)/X106)</f>
        <v>2.7919204621369906E-2</v>
      </c>
      <c r="AB106" s="3">
        <f>AB14-AB104</f>
        <v>-11770857</v>
      </c>
      <c r="AC106" s="73"/>
    </row>
    <row r="107" spans="1:29" x14ac:dyDescent="0.25">
      <c r="B107" s="1323"/>
      <c r="C107" s="1317"/>
      <c r="D107" s="3"/>
      <c r="H107" s="3"/>
      <c r="I107" s="1257"/>
      <c r="J107" s="66"/>
      <c r="L107" s="3"/>
      <c r="M107" s="1335"/>
      <c r="P107" s="3"/>
      <c r="Q107" s="1335"/>
      <c r="T107" s="44"/>
      <c r="U107" s="73"/>
      <c r="X107" s="44"/>
      <c r="Y107" s="73"/>
      <c r="AB107" s="44"/>
      <c r="AC107" s="73"/>
    </row>
    <row r="108" spans="1:29" x14ac:dyDescent="0.25">
      <c r="B108" s="1323" t="s">
        <v>136</v>
      </c>
      <c r="C108" s="1319"/>
      <c r="D108" s="3">
        <f>D7+D106</f>
        <v>0</v>
      </c>
      <c r="G108" s="1527" t="str">
        <f>IF(D108=0,"0.00%",(H108-D108)/D108)</f>
        <v>0.00%</v>
      </c>
      <c r="H108" s="3">
        <f>H7+H106</f>
        <v>0</v>
      </c>
      <c r="I108" s="1257"/>
      <c r="J108" s="66"/>
      <c r="K108" s="1527" t="str">
        <f>IF(H108=0,"0.00%",(L108-H108)/H108)</f>
        <v>0.00%</v>
      </c>
      <c r="L108" s="3">
        <f>L7+L106</f>
        <v>0</v>
      </c>
      <c r="M108" s="1335"/>
      <c r="O108" s="1527" t="str">
        <f>IF(L108=0,"0.00%",(P108-L108)/L108)</f>
        <v>0.00%</v>
      </c>
      <c r="P108" s="3">
        <f>P7+P106</f>
        <v>0</v>
      </c>
      <c r="Q108" s="1335"/>
      <c r="S108" s="83" t="str">
        <f>IF(P108=0,"0.00%",(T108-P108)/P108)</f>
        <v>0.00%</v>
      </c>
      <c r="T108" s="49">
        <f>T7+T106</f>
        <v>2410902.8100000024</v>
      </c>
      <c r="U108" s="73"/>
      <c r="W108" s="83">
        <f>IF(T108=0,"0.00%",(X108-T108)/T108)</f>
        <v>-4.7497352247061295</v>
      </c>
      <c r="X108" s="49">
        <f>X7+X106</f>
        <v>-9040247.1899999976</v>
      </c>
      <c r="Y108" s="73"/>
      <c r="AA108" s="83">
        <f>IF(X108=0,"0.00%",(AB108-X108)/X108)</f>
        <v>1.3020503480281498</v>
      </c>
      <c r="AB108" s="49">
        <f>AB7+AB106</f>
        <v>-20811104.189999998</v>
      </c>
      <c r="AC108" s="73"/>
    </row>
    <row r="109" spans="1:29" x14ac:dyDescent="0.25">
      <c r="C109" s="1259"/>
      <c r="G109" s="1540"/>
      <c r="H109" s="5"/>
      <c r="I109" s="1258"/>
      <c r="J109" s="29"/>
      <c r="L109" s="5"/>
      <c r="M109" s="1335"/>
      <c r="P109" s="5"/>
      <c r="Q109" s="1335"/>
      <c r="T109" s="5"/>
      <c r="U109" s="73"/>
      <c r="X109" s="5"/>
      <c r="Y109" s="73"/>
      <c r="AB109" s="5"/>
      <c r="AC109" s="73"/>
    </row>
    <row r="110" spans="1:29" x14ac:dyDescent="0.25">
      <c r="C110" s="1254"/>
      <c r="G110" s="1540"/>
      <c r="H110" s="36"/>
      <c r="I110" s="1257"/>
      <c r="J110" s="66"/>
      <c r="L110" s="2"/>
      <c r="M110" s="1335"/>
      <c r="Q110" s="1335"/>
      <c r="T110" s="2"/>
      <c r="U110" s="73"/>
      <c r="X110" s="2"/>
      <c r="Y110" s="73"/>
      <c r="AB110" s="2"/>
      <c r="AC110" s="73"/>
    </row>
    <row r="111" spans="1:29" x14ac:dyDescent="0.25">
      <c r="C111" s="1254"/>
      <c r="G111" s="1540"/>
      <c r="H111" s="36"/>
      <c r="I111" s="1257"/>
      <c r="J111" s="66"/>
      <c r="L111" s="2"/>
      <c r="M111" s="1335"/>
      <c r="Q111" s="1335"/>
      <c r="T111" s="2"/>
      <c r="U111" s="73"/>
      <c r="X111" s="2"/>
      <c r="Y111" s="73"/>
      <c r="AB111" s="2"/>
      <c r="AC111" s="73"/>
    </row>
    <row r="112" spans="1:29" x14ac:dyDescent="0.25">
      <c r="C112" s="1254"/>
      <c r="G112" s="1540"/>
      <c r="H112" s="36"/>
      <c r="I112" s="1257"/>
      <c r="J112" s="66"/>
      <c r="L112" s="2"/>
      <c r="M112" s="1335"/>
      <c r="Q112" s="1335"/>
      <c r="T112" s="2"/>
      <c r="U112" s="73"/>
      <c r="X112" s="2"/>
      <c r="Y112" s="73"/>
      <c r="AB112" s="2"/>
      <c r="AC112" s="73"/>
    </row>
    <row r="113" spans="1:29" x14ac:dyDescent="0.25">
      <c r="C113" s="1254"/>
      <c r="G113" s="1540"/>
      <c r="H113" s="36"/>
      <c r="I113" s="1257"/>
      <c r="J113" s="66"/>
      <c r="L113" s="2"/>
      <c r="M113" s="1335"/>
      <c r="Q113" s="1335"/>
      <c r="T113" s="2"/>
      <c r="U113" s="73"/>
      <c r="X113" s="2"/>
      <c r="Y113" s="73"/>
      <c r="AB113" s="2"/>
      <c r="AC113" s="73"/>
    </row>
    <row r="114" spans="1:29" s="138" customFormat="1" ht="11.25" x14ac:dyDescent="0.2">
      <c r="A114" s="1436"/>
      <c r="B114" s="1329"/>
      <c r="C114" s="1330" t="s">
        <v>273</v>
      </c>
      <c r="D114" s="135">
        <f>+D94+D76+D63+D51+D40+D101</f>
        <v>15447982</v>
      </c>
      <c r="E114" s="1251"/>
      <c r="G114" s="1541" t="s">
        <v>273</v>
      </c>
      <c r="H114" s="135">
        <f>+H94+H76+H63+H51+H40+H101</f>
        <v>16290760</v>
      </c>
      <c r="I114" s="1260"/>
      <c r="J114" s="136"/>
      <c r="K114" s="1541" t="s">
        <v>273</v>
      </c>
      <c r="L114" s="135">
        <f>+L94+L76+L63+L51+L40+L101</f>
        <v>16719709</v>
      </c>
      <c r="M114" s="1338"/>
      <c r="O114" s="1541" t="s">
        <v>273</v>
      </c>
      <c r="P114" s="135">
        <f>+P94+P76+P63+P51+P40+P101</f>
        <v>17239122</v>
      </c>
      <c r="Q114" s="1338"/>
      <c r="R114" s="140"/>
      <c r="S114" s="158" t="s">
        <v>273</v>
      </c>
      <c r="T114" s="135">
        <f>+T94+T76+T63+T51+T40+T101</f>
        <v>15450508</v>
      </c>
      <c r="U114" s="139"/>
      <c r="W114" s="158" t="s">
        <v>273</v>
      </c>
      <c r="X114" s="135">
        <f>+X94+X76+X63+X51+X40+X101</f>
        <v>15865661</v>
      </c>
      <c r="Y114" s="139"/>
      <c r="AA114" s="158" t="s">
        <v>273</v>
      </c>
      <c r="AB114" s="135">
        <f>+AB94+AB76+AB63+AB51+AB40+AB101</f>
        <v>16274603</v>
      </c>
      <c r="AC114" s="139"/>
    </row>
    <row r="115" spans="1:29" s="138" customFormat="1" ht="11.25" x14ac:dyDescent="0.2">
      <c r="A115" s="1437"/>
      <c r="B115" s="1329"/>
      <c r="C115" s="1331" t="s">
        <v>227</v>
      </c>
      <c r="D115" s="143">
        <f>+D16</f>
        <v>418309</v>
      </c>
      <c r="E115" s="1252"/>
      <c r="F115" s="145"/>
      <c r="G115" s="1546" t="s">
        <v>227</v>
      </c>
      <c r="H115" s="143">
        <f>+H16</f>
        <v>554485</v>
      </c>
      <c r="I115" s="1261"/>
      <c r="J115" s="144"/>
      <c r="K115" s="1546" t="s">
        <v>227</v>
      </c>
      <c r="L115" s="143">
        <f>+L16</f>
        <v>574019</v>
      </c>
      <c r="M115" s="1338"/>
      <c r="O115" s="1546" t="s">
        <v>227</v>
      </c>
      <c r="P115" s="143">
        <f>+P16</f>
        <v>597081</v>
      </c>
      <c r="Q115" s="1251"/>
      <c r="R115" s="140"/>
      <c r="S115" s="142" t="s">
        <v>227</v>
      </c>
      <c r="T115" s="143">
        <f>+T16</f>
        <v>462452</v>
      </c>
      <c r="W115" s="142" t="s">
        <v>227</v>
      </c>
      <c r="X115" s="143">
        <f>+X16</f>
        <v>475403</v>
      </c>
      <c r="AA115" s="142" t="s">
        <v>227</v>
      </c>
      <c r="AB115" s="143">
        <f>+AB16</f>
        <v>488057</v>
      </c>
    </row>
    <row r="116" spans="1:29" s="138" customFormat="1" ht="11.25" x14ac:dyDescent="0.2">
      <c r="A116" s="1437"/>
      <c r="B116" s="1329"/>
      <c r="C116" s="1331"/>
      <c r="D116" s="146">
        <f>+D114+D115</f>
        <v>15866291</v>
      </c>
      <c r="E116" s="1252"/>
      <c r="F116" s="145"/>
      <c r="G116" s="1546"/>
      <c r="H116" s="146">
        <f>+H114+H115</f>
        <v>16845245</v>
      </c>
      <c r="I116" s="1261"/>
      <c r="J116" s="144"/>
      <c r="K116" s="1546"/>
      <c r="L116" s="146">
        <f>+L114+L115</f>
        <v>17293728</v>
      </c>
      <c r="M116" s="1251"/>
      <c r="O116" s="1546"/>
      <c r="P116" s="146">
        <f>+P114+P115</f>
        <v>17836203</v>
      </c>
      <c r="Q116" s="1251"/>
      <c r="R116" s="140"/>
      <c r="S116" s="142"/>
      <c r="T116" s="146">
        <f>+T114+T115</f>
        <v>15912960</v>
      </c>
      <c r="W116" s="142"/>
      <c r="X116" s="146">
        <f>+X114+X115</f>
        <v>16341064</v>
      </c>
      <c r="AA116" s="142"/>
      <c r="AB116" s="146">
        <f>+AB114+AB115</f>
        <v>16762660</v>
      </c>
    </row>
    <row r="117" spans="1:29" ht="15" customHeight="1" x14ac:dyDescent="0.25">
      <c r="A117" s="1346"/>
      <c r="B117" s="1332"/>
      <c r="C117" s="1332"/>
      <c r="D117" s="5">
        <f>+D104-D116</f>
        <v>0</v>
      </c>
      <c r="E117" s="1249"/>
      <c r="F117" s="2"/>
      <c r="G117" s="1543"/>
      <c r="H117" s="5">
        <f>+H104-H116</f>
        <v>0</v>
      </c>
      <c r="K117" s="1543"/>
      <c r="L117" s="5">
        <f>+L104-L116</f>
        <v>0</v>
      </c>
      <c r="O117" s="1543"/>
      <c r="P117" s="5">
        <f>+P104-P116</f>
        <v>0</v>
      </c>
      <c r="S117" s="103"/>
      <c r="T117" s="5">
        <f>+T104-T116</f>
        <v>0</v>
      </c>
      <c r="W117" s="103"/>
      <c r="X117" s="5">
        <f>+X104-X116</f>
        <v>0</v>
      </c>
      <c r="AA117" s="103"/>
      <c r="AB117" s="5">
        <f>+AB104-AB116</f>
        <v>0</v>
      </c>
    </row>
    <row r="118" spans="1:29" x14ac:dyDescent="0.25">
      <c r="A118" s="1346"/>
      <c r="B118" s="1332"/>
      <c r="C118" s="1332"/>
      <c r="D118" s="36"/>
      <c r="E118" s="1249"/>
      <c r="F118" s="2"/>
    </row>
    <row r="119" spans="1:29" x14ac:dyDescent="0.25">
      <c r="A119" s="1346"/>
      <c r="B119" s="1319"/>
      <c r="C119" s="1254"/>
      <c r="D119" s="25"/>
      <c r="E119" s="1249"/>
      <c r="F119" s="2"/>
    </row>
    <row r="120" spans="1:29" x14ac:dyDescent="0.25">
      <c r="B120" s="1319"/>
      <c r="C120" s="1254"/>
      <c r="D120" s="36"/>
    </row>
    <row r="121" spans="1:29" x14ac:dyDescent="0.25">
      <c r="B121" s="1319"/>
      <c r="C121" s="1254"/>
      <c r="D121" s="36"/>
    </row>
    <row r="122" spans="1:29" ht="15" customHeight="1" x14ac:dyDescent="0.25">
      <c r="B122" s="1319"/>
      <c r="C122" s="1254"/>
      <c r="D122" s="36"/>
    </row>
    <row r="123" spans="1:29" x14ac:dyDescent="0.25">
      <c r="B123" s="1319"/>
      <c r="C123" s="1254"/>
      <c r="D123" s="36"/>
    </row>
    <row r="124" spans="1:29" x14ac:dyDescent="0.25">
      <c r="B124" s="1319"/>
      <c r="C124" s="1254"/>
      <c r="D124" s="36"/>
    </row>
    <row r="125" spans="1:29" ht="15" customHeight="1" x14ac:dyDescent="0.25">
      <c r="B125" s="2151"/>
      <c r="C125" s="2151"/>
      <c r="D125" s="36"/>
    </row>
    <row r="126" spans="1:29" x14ac:dyDescent="0.25">
      <c r="B126" s="2151"/>
      <c r="C126" s="2151"/>
      <c r="D126" s="36"/>
    </row>
    <row r="127" spans="1:29" x14ac:dyDescent="0.25">
      <c r="B127" s="1319"/>
      <c r="C127" s="1254"/>
      <c r="D127" s="6"/>
    </row>
    <row r="128" spans="1:29" x14ac:dyDescent="0.25">
      <c r="B128" s="1319"/>
      <c r="C128" s="1254"/>
      <c r="D128" s="36"/>
    </row>
    <row r="129" spans="2:4" x14ac:dyDescent="0.25">
      <c r="B129" s="1319"/>
      <c r="C129" s="1254"/>
      <c r="D129" s="36"/>
    </row>
    <row r="130" spans="2:4" ht="28.5" customHeight="1" x14ac:dyDescent="0.25">
      <c r="B130" s="1319"/>
      <c r="C130" s="1254"/>
      <c r="D130" s="25"/>
    </row>
    <row r="131" spans="2:4" x14ac:dyDescent="0.25">
      <c r="B131" s="1319"/>
      <c r="C131" s="1254"/>
      <c r="D131" s="36"/>
    </row>
    <row r="132" spans="2:4" x14ac:dyDescent="0.25">
      <c r="B132" s="1319"/>
      <c r="C132" s="1254"/>
      <c r="D132" s="36"/>
    </row>
    <row r="133" spans="2:4" x14ac:dyDescent="0.25">
      <c r="B133" s="1319"/>
      <c r="C133" s="1254"/>
      <c r="D133" s="36"/>
    </row>
    <row r="134" spans="2:4" x14ac:dyDescent="0.25">
      <c r="B134" s="1319"/>
      <c r="C134" s="1254"/>
      <c r="D134" s="36"/>
    </row>
    <row r="135" spans="2:4" x14ac:dyDescent="0.25">
      <c r="B135" s="1319"/>
      <c r="C135" s="1254"/>
      <c r="D135" s="36"/>
    </row>
    <row r="136" spans="2:4" x14ac:dyDescent="0.25">
      <c r="B136" s="1319"/>
      <c r="C136" s="1254"/>
      <c r="D136" s="36"/>
    </row>
    <row r="137" spans="2:4" x14ac:dyDescent="0.25">
      <c r="B137" s="1319"/>
      <c r="C137" s="1254"/>
      <c r="D137" s="36"/>
    </row>
    <row r="138" spans="2:4" x14ac:dyDescent="0.25">
      <c r="B138" s="1319"/>
      <c r="C138" s="1254"/>
      <c r="D138" s="36"/>
    </row>
    <row r="139" spans="2:4" x14ac:dyDescent="0.25">
      <c r="B139" s="1319"/>
      <c r="C139" s="1254"/>
      <c r="D139" s="36"/>
    </row>
    <row r="140" spans="2:4" x14ac:dyDescent="0.25">
      <c r="B140" s="1319"/>
      <c r="C140" s="1254"/>
      <c r="D140" s="36"/>
    </row>
    <row r="141" spans="2:4" x14ac:dyDescent="0.25">
      <c r="B141" s="1319"/>
      <c r="C141" s="1254"/>
      <c r="D141" s="36"/>
    </row>
    <row r="142" spans="2:4" x14ac:dyDescent="0.25">
      <c r="B142" s="1319"/>
      <c r="C142" s="1254"/>
      <c r="D142" s="36"/>
    </row>
    <row r="143" spans="2:4" x14ac:dyDescent="0.25">
      <c r="B143" s="1319"/>
      <c r="C143" s="1254"/>
      <c r="D143" s="36"/>
    </row>
    <row r="144" spans="2:4" x14ac:dyDescent="0.25">
      <c r="B144" s="1319"/>
      <c r="C144" s="1254"/>
      <c r="D144" s="36"/>
    </row>
    <row r="145" spans="2:4" x14ac:dyDescent="0.25">
      <c r="B145" s="1319"/>
      <c r="C145" s="1254"/>
      <c r="D145" s="36"/>
    </row>
  </sheetData>
  <mergeCells count="1">
    <mergeCell ref="B125:C126"/>
  </mergeCells>
  <pageMargins left="0.25" right="0.25" top="0.5" bottom="0.5" header="0.25" footer="0.25"/>
  <pageSetup paperSize="5" scale="58" orientation="portrait" r:id="rId1"/>
  <headerFooter>
    <oddHeader>&amp;L&amp;F</oddHead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pageSetUpPr fitToPage="1"/>
  </sheetPr>
  <dimension ref="A1:AK85"/>
  <sheetViews>
    <sheetView showGridLines="0" zoomScaleNormal="100" workbookViewId="0">
      <pane xSplit="4" ySplit="1" topLeftCell="F6" activePane="bottomRight" state="frozen"/>
      <selection activeCell="F2" sqref="F2"/>
      <selection pane="topRight" activeCell="F2" sqref="F2"/>
      <selection pane="bottomLeft" activeCell="F2" sqref="F2"/>
      <selection pane="bottomRight" activeCell="A24" sqref="A24"/>
    </sheetView>
  </sheetViews>
  <sheetFormatPr defaultRowHeight="14.25" x14ac:dyDescent="0.2"/>
  <cols>
    <col min="1" max="1" width="1.28515625" style="1980" customWidth="1"/>
    <col min="2" max="2" width="2.140625" style="1981" customWidth="1"/>
    <col min="3" max="3" width="2.140625" style="1980" customWidth="1"/>
    <col min="4" max="4" width="66.140625" style="1980" customWidth="1"/>
    <col min="5" max="5" width="1.42578125" style="270" hidden="1" customWidth="1"/>
    <col min="6" max="6" width="21.7109375" style="230" customWidth="1"/>
    <col min="7" max="7" width="21.7109375" style="270" customWidth="1"/>
    <col min="8" max="8" width="21.7109375" style="230" customWidth="1"/>
    <col min="9" max="9" width="21.7109375" style="270" customWidth="1"/>
    <col min="10" max="10" width="20.28515625" style="230" hidden="1" customWidth="1"/>
    <col min="11" max="11" width="20.28515625" style="270" hidden="1" customWidth="1"/>
    <col min="12" max="12" width="20.28515625" style="230" hidden="1" customWidth="1"/>
    <col min="13" max="13" width="8.42578125" style="1909" customWidth="1"/>
    <col min="14" max="16384" width="9.140625" style="1909"/>
  </cols>
  <sheetData>
    <row r="1" spans="1:14" s="1908" customFormat="1" ht="36.75" customHeight="1" thickTop="1" x14ac:dyDescent="0.25">
      <c r="A1" s="1921" t="s">
        <v>392</v>
      </c>
      <c r="B1" s="1922"/>
      <c r="C1" s="1922"/>
      <c r="D1" s="1923"/>
      <c r="E1" s="997" t="str">
        <f>+UNRESTRICTED!E1</f>
        <v>2015-2016</v>
      </c>
      <c r="F1" s="1705" t="str">
        <f>+UNRESTRICTED!F1</f>
        <v>2016-2017</v>
      </c>
      <c r="G1" s="1770" t="str">
        <f>+UNRESTRICTED!G1</f>
        <v>2017-2018</v>
      </c>
      <c r="H1" s="1736" t="str">
        <f>+UNRESTRICTED!H1</f>
        <v>2018-2019</v>
      </c>
      <c r="I1" s="998" t="str">
        <f>+UNRESTRICTED!I1</f>
        <v>2019-2020</v>
      </c>
      <c r="J1" s="283" t="str">
        <f>+UNRESTRICTED!J1</f>
        <v>2020-2021</v>
      </c>
      <c r="K1" s="219" t="str">
        <f>+UNRESTRICTED!K1</f>
        <v>2021-2022</v>
      </c>
      <c r="L1" s="283" t="str">
        <f>+UNRESTRICTED!L1</f>
        <v>2022-2023</v>
      </c>
    </row>
    <row r="2" spans="1:14" ht="15.75" x14ac:dyDescent="0.25">
      <c r="A2" s="1924"/>
      <c r="B2" s="1925"/>
      <c r="C2" s="1926"/>
      <c r="D2" s="1926"/>
      <c r="E2" s="1028"/>
      <c r="F2" s="1706"/>
      <c r="G2" s="1771"/>
      <c r="H2" s="1737"/>
      <c r="I2" s="1029"/>
      <c r="J2" s="284"/>
      <c r="K2" s="285"/>
      <c r="L2" s="284"/>
    </row>
    <row r="3" spans="1:14" ht="18" x14ac:dyDescent="0.25">
      <c r="A3" s="1927"/>
      <c r="B3" s="1928" t="s">
        <v>358</v>
      </c>
      <c r="C3" s="1929"/>
      <c r="D3" s="1929"/>
      <c r="E3" s="1030"/>
      <c r="F3" s="1707"/>
      <c r="G3" s="1772"/>
      <c r="H3" s="1738"/>
      <c r="I3" s="1031"/>
      <c r="J3" s="287"/>
      <c r="K3" s="286"/>
      <c r="L3" s="287"/>
    </row>
    <row r="4" spans="1:14" ht="18" x14ac:dyDescent="0.25">
      <c r="A4" s="1930"/>
      <c r="B4" s="1931"/>
      <c r="C4" s="1120" t="s">
        <v>359</v>
      </c>
      <c r="D4" s="1120"/>
      <c r="E4" s="918"/>
      <c r="F4" s="1708">
        <f>+'RS 6500'!D9</f>
        <v>1041447</v>
      </c>
      <c r="G4" s="1668">
        <f>+'RS 6500'!H9</f>
        <v>1013375</v>
      </c>
      <c r="H4" s="1739">
        <f>+'RS 6500'!L9</f>
        <v>1035163</v>
      </c>
      <c r="I4" s="1024">
        <f>+'RS 6500'!P9</f>
        <v>1059489</v>
      </c>
      <c r="J4" s="288">
        <f t="shared" ref="J4:L4" si="0">+I4</f>
        <v>1059489</v>
      </c>
      <c r="K4" s="235">
        <f t="shared" si="0"/>
        <v>1059489</v>
      </c>
      <c r="L4" s="288">
        <f t="shared" si="0"/>
        <v>1059489</v>
      </c>
    </row>
    <row r="5" spans="1:14" ht="18" hidden="1" x14ac:dyDescent="0.25">
      <c r="A5" s="1930"/>
      <c r="B5" s="1931"/>
      <c r="C5" s="1120"/>
      <c r="D5" s="1120"/>
      <c r="E5" s="918"/>
      <c r="F5" s="1708"/>
      <c r="G5" s="1668"/>
      <c r="H5" s="1739"/>
      <c r="I5" s="1024"/>
      <c r="J5" s="288"/>
      <c r="K5" s="235"/>
      <c r="L5" s="288"/>
    </row>
    <row r="6" spans="1:14" ht="18" x14ac:dyDescent="0.25">
      <c r="A6" s="1932"/>
      <c r="B6" s="1933"/>
      <c r="C6" s="1109" t="s">
        <v>360</v>
      </c>
      <c r="D6" s="1109"/>
      <c r="E6" s="919"/>
      <c r="F6" s="1709">
        <f>+'RS 3010'!D10+'RS 4035'!D9+'RS 4201'!D9+'RS 4203'!D9+'RS 5640'!D9+'RS 3310'!D11+'RS 3311'!D9</f>
        <v>3540110.26</v>
      </c>
      <c r="G6" s="1670">
        <f>+'RS 3010'!H10+'RS 4035'!H9+'RS 4201'!H9+'RS 4203'!H9+'RS 5640'!H9+'RS 3310'!H11+'RS 3311'!H9</f>
        <v>4036480</v>
      </c>
      <c r="H6" s="1740">
        <f>+'RS 3010'!L10+'RS 4035'!L9+'RS 4201'!L9+'RS 4203'!L9+'RS 5640'!L9+'RS 3310'!L11+'RS 3311'!L9</f>
        <v>4045618</v>
      </c>
      <c r="I6" s="1000">
        <f>+'RS 3010'!P10+'RS 4035'!P9+'RS 4201'!P9+'RS 4203'!P9+'RS 5640'!P9+'RS 3310'!P11+'RS 3311'!P9</f>
        <v>4093073</v>
      </c>
      <c r="J6" s="289" t="e">
        <f>+I6*(1+#REF!)</f>
        <v>#REF!</v>
      </c>
      <c r="K6" s="227" t="e">
        <f>+J6*(1+#REF!)</f>
        <v>#REF!</v>
      </c>
      <c r="L6" s="289" t="e">
        <f>+K6*(1+#REF!)</f>
        <v>#REF!</v>
      </c>
    </row>
    <row r="7" spans="1:14" ht="18" x14ac:dyDescent="0.25">
      <c r="A7" s="1932"/>
      <c r="B7" s="1933"/>
      <c r="C7" s="1109"/>
      <c r="D7" s="1934" t="s">
        <v>393</v>
      </c>
      <c r="E7" s="922"/>
      <c r="F7" s="1710">
        <f>+'RS 3010'!D11+'RS 4035'!D10+'RS 4201'!D10+'RS 4203'!D10+'RS 5640'!D10+'RS 3311'!D10</f>
        <v>1102146.6500000001</v>
      </c>
      <c r="G7" s="1669">
        <f>+'RS 3010'!H11+'RS 4035'!H10+'RS 4201'!H10+'RS 4203'!H10+'RS 5640'!H10+'RS 5640'!H10+'RS 3311'!H10</f>
        <v>599346</v>
      </c>
      <c r="H7" s="1741">
        <f>+'RS 3010'!L11+'RS 4035'!L10+'RS 4201'!L10+'RS 4203'!L10+'RS 5640'!L10+'RS 3311'!L10</f>
        <v>38613</v>
      </c>
      <c r="I7" s="1001">
        <f>+'RS 3010'!P11+'RS 4035'!P10+'RS 4201'!P10+'RS 4203'!P10+'RS 5640'!P10+'RS 3311'!L10</f>
        <v>19638</v>
      </c>
      <c r="J7" s="290">
        <v>0</v>
      </c>
      <c r="K7" s="232">
        <v>0</v>
      </c>
      <c r="L7" s="290">
        <v>0</v>
      </c>
    </row>
    <row r="8" spans="1:14" ht="18" x14ac:dyDescent="0.25">
      <c r="A8" s="1932"/>
      <c r="B8" s="1933"/>
      <c r="C8" s="1109" t="s">
        <v>361</v>
      </c>
      <c r="D8" s="1109"/>
      <c r="E8" s="919"/>
      <c r="F8" s="1709">
        <f>+'RS 6010'!D9+'RS 6264'!D9+'RS 6300'!D9+'RS 6512'!D9</f>
        <v>580997</v>
      </c>
      <c r="G8" s="1670">
        <f>+'RS 6010'!H9+'RS 6264'!H9+'RS 6300'!H9+'RS 6512'!H9</f>
        <v>585027</v>
      </c>
      <c r="H8" s="1740">
        <f>+'RS 6010'!L9+'RS 6264'!L9+'RS 6300'!L9+'RS 6512'!L9</f>
        <v>592535</v>
      </c>
      <c r="I8" s="1000">
        <f>+'RS 6010'!P9+'RS 6264'!P9+'RS 6300'!P9+'RS 6512'!P9</f>
        <v>600918</v>
      </c>
      <c r="J8" s="289" t="e">
        <f>+I8*(1+#REF!)</f>
        <v>#REF!</v>
      </c>
      <c r="K8" s="227" t="e">
        <f>+J8*(1+#REF!)</f>
        <v>#REF!</v>
      </c>
      <c r="L8" s="289" t="e">
        <f>+K8*(1+#REF!)</f>
        <v>#REF!</v>
      </c>
    </row>
    <row r="9" spans="1:14" ht="18" x14ac:dyDescent="0.25">
      <c r="A9" s="1932"/>
      <c r="B9" s="1933"/>
      <c r="C9" s="1109"/>
      <c r="D9" s="1934" t="s">
        <v>394</v>
      </c>
      <c r="E9" s="922"/>
      <c r="F9" s="1710">
        <f>+'RS 6230'!D11</f>
        <v>466785</v>
      </c>
      <c r="G9" s="1669">
        <f>+'RS 6230'!H11</f>
        <v>379448</v>
      </c>
      <c r="H9" s="1741">
        <v>0</v>
      </c>
      <c r="I9" s="1001">
        <v>0</v>
      </c>
      <c r="J9" s="290">
        <v>0</v>
      </c>
      <c r="K9" s="232">
        <v>0</v>
      </c>
      <c r="L9" s="290">
        <v>0</v>
      </c>
    </row>
    <row r="10" spans="1:14" ht="18" x14ac:dyDescent="0.25">
      <c r="A10" s="1935"/>
      <c r="B10" s="1936"/>
      <c r="C10" s="1937" t="s">
        <v>363</v>
      </c>
      <c r="D10" s="1937"/>
      <c r="E10" s="935"/>
      <c r="F10" s="1711">
        <f>+'RS 6500'!D10+'RS 6500'!D11+'RS 9076'!D11</f>
        <v>3510855</v>
      </c>
      <c r="G10" s="1675">
        <f>+'RS 6500'!H10+'RS 6500'!H11+'RS 9076'!H11+'RS 9221'!H11+'RS 9222'!H11</f>
        <v>3504015</v>
      </c>
      <c r="H10" s="1742">
        <f>+'RS 6500'!L10+'RS 6500'!L11+'RS 9076'!L11+'RS 9221'!L11+'RS 9222'!L11</f>
        <v>3562264</v>
      </c>
      <c r="I10" s="1002">
        <f>+'RS 6500'!P10+'RS 6500'!P11+'RS 9076'!P11+'RS 9222'!L11+'RS 9221'!P11</f>
        <v>3645787</v>
      </c>
      <c r="J10" s="291">
        <f t="shared" ref="J10:L10" si="1">+I10</f>
        <v>3645787</v>
      </c>
      <c r="K10" s="246">
        <f t="shared" si="1"/>
        <v>3645787</v>
      </c>
      <c r="L10" s="291">
        <f t="shared" si="1"/>
        <v>3645787</v>
      </c>
    </row>
    <row r="11" spans="1:14" ht="18" hidden="1" x14ac:dyDescent="0.25">
      <c r="A11" s="1940"/>
      <c r="B11" s="1948"/>
      <c r="C11" s="1949"/>
      <c r="D11" s="1949"/>
      <c r="E11" s="233"/>
      <c r="F11" s="2117"/>
      <c r="G11" s="1868"/>
      <c r="H11" s="2118"/>
      <c r="I11" s="1072"/>
      <c r="J11" s="289"/>
      <c r="K11" s="233"/>
      <c r="L11" s="289"/>
    </row>
    <row r="12" spans="1:14" ht="18.75" thickBot="1" x14ac:dyDescent="0.3">
      <c r="A12" s="1938"/>
      <c r="B12" s="1939" t="s">
        <v>364</v>
      </c>
      <c r="C12" s="1939"/>
      <c r="D12" s="1939"/>
      <c r="E12" s="982"/>
      <c r="F12" s="1712">
        <f t="shared" ref="F12:L12" si="2">SUM(F4:F10)</f>
        <v>10242340.91</v>
      </c>
      <c r="G12" s="1773">
        <f t="shared" si="2"/>
        <v>10117691</v>
      </c>
      <c r="H12" s="1743">
        <f t="shared" si="2"/>
        <v>9274193</v>
      </c>
      <c r="I12" s="1003">
        <f t="shared" si="2"/>
        <v>9418905</v>
      </c>
      <c r="J12" s="292" t="e">
        <f t="shared" si="2"/>
        <v>#REF!</v>
      </c>
      <c r="K12" s="252" t="e">
        <f t="shared" si="2"/>
        <v>#REF!</v>
      </c>
      <c r="L12" s="292" t="e">
        <f t="shared" si="2"/>
        <v>#REF!</v>
      </c>
    </row>
    <row r="13" spans="1:14" ht="18.75" thickTop="1" x14ac:dyDescent="0.25">
      <c r="A13" s="1940"/>
      <c r="B13" s="1941"/>
      <c r="C13" s="1942"/>
      <c r="D13" s="1942"/>
      <c r="E13" s="237"/>
      <c r="F13" s="1713"/>
      <c r="G13" s="1673"/>
      <c r="H13" s="1744"/>
      <c r="I13" s="1004"/>
      <c r="J13" s="294"/>
      <c r="K13" s="237"/>
      <c r="L13" s="294"/>
      <c r="M13" s="1886"/>
      <c r="N13" s="1910"/>
    </row>
    <row r="14" spans="1:14" ht="18" x14ac:dyDescent="0.25">
      <c r="A14" s="1940"/>
      <c r="B14" s="1941" t="s">
        <v>737</v>
      </c>
      <c r="C14" s="1942"/>
      <c r="D14" s="1942"/>
      <c r="E14" s="237"/>
      <c r="F14" s="1714"/>
      <c r="G14" s="1677"/>
      <c r="H14" s="1745"/>
      <c r="I14" s="1005"/>
      <c r="J14" s="293"/>
      <c r="K14" s="237"/>
      <c r="L14" s="293"/>
    </row>
    <row r="15" spans="1:14" s="1911" customFormat="1" ht="18" x14ac:dyDescent="0.25">
      <c r="A15" s="1932"/>
      <c r="B15" s="1933"/>
      <c r="C15" s="1109" t="s">
        <v>376</v>
      </c>
      <c r="D15" s="1109"/>
      <c r="E15" s="939"/>
      <c r="F15" s="1715">
        <v>0</v>
      </c>
      <c r="G15" s="1774">
        <v>0</v>
      </c>
      <c r="H15" s="1746">
        <v>0</v>
      </c>
      <c r="I15" s="999">
        <v>0</v>
      </c>
      <c r="J15" s="288">
        <v>0</v>
      </c>
      <c r="K15" s="235">
        <v>0</v>
      </c>
      <c r="L15" s="288">
        <v>0</v>
      </c>
    </row>
    <row r="16" spans="1:14" ht="18" x14ac:dyDescent="0.25">
      <c r="A16" s="1935"/>
      <c r="B16" s="1936"/>
      <c r="C16" s="1937" t="s">
        <v>282</v>
      </c>
      <c r="D16" s="1937"/>
      <c r="E16" s="935"/>
      <c r="F16" s="1711">
        <f>+'RS 7810'!D9</f>
        <v>940972.3</v>
      </c>
      <c r="G16" s="1675">
        <v>0</v>
      </c>
      <c r="H16" s="1742">
        <v>0</v>
      </c>
      <c r="I16" s="1002">
        <v>0</v>
      </c>
      <c r="J16" s="302">
        <v>0</v>
      </c>
      <c r="K16" s="227">
        <v>0</v>
      </c>
      <c r="L16" s="302">
        <v>0</v>
      </c>
    </row>
    <row r="17" spans="1:18" ht="18" x14ac:dyDescent="0.25">
      <c r="A17" s="1932"/>
      <c r="B17" s="1933"/>
      <c r="C17" s="1109" t="s">
        <v>721</v>
      </c>
      <c r="D17" s="1109"/>
      <c r="E17" s="919"/>
      <c r="F17" s="1709"/>
      <c r="G17" s="1670"/>
      <c r="H17" s="1740"/>
      <c r="I17" s="1000"/>
      <c r="J17" s="289"/>
      <c r="K17" s="233"/>
      <c r="L17" s="289"/>
    </row>
    <row r="18" spans="1:18" ht="18" x14ac:dyDescent="0.25">
      <c r="A18" s="1932"/>
      <c r="B18" s="1933"/>
      <c r="C18" s="1109"/>
      <c r="D18" s="1109" t="s">
        <v>407</v>
      </c>
      <c r="E18" s="919"/>
      <c r="F18" s="1709">
        <f>+'RS 6500'!D12</f>
        <v>11322089</v>
      </c>
      <c r="G18" s="1670">
        <f>+'RS 6500'!H12</f>
        <v>12352512</v>
      </c>
      <c r="H18" s="1740">
        <f>+'RS 6500'!L12</f>
        <v>12704401</v>
      </c>
      <c r="I18" s="1000">
        <f>+'RS 6500'!P12</f>
        <v>13139027</v>
      </c>
      <c r="J18" s="289"/>
      <c r="K18" s="233"/>
      <c r="L18" s="289"/>
    </row>
    <row r="19" spans="1:18" ht="18" x14ac:dyDescent="0.25">
      <c r="A19" s="1932"/>
      <c r="B19" s="1933"/>
      <c r="C19" s="1109"/>
      <c r="D19" s="1109" t="s">
        <v>408</v>
      </c>
      <c r="E19" s="919"/>
      <c r="F19" s="1709">
        <f>+'RS 8150'!D11</f>
        <v>2510809</v>
      </c>
      <c r="G19" s="1670">
        <f>+'RS 8150'!H11</f>
        <v>2608798</v>
      </c>
      <c r="H19" s="1740">
        <f>+'RS 8150'!L11</f>
        <v>2410805</v>
      </c>
      <c r="I19" s="1000">
        <f>+'RS 8150'!P11</f>
        <v>2480055</v>
      </c>
      <c r="J19" s="289"/>
      <c r="K19" s="233"/>
      <c r="L19" s="289"/>
    </row>
    <row r="20" spans="1:18" ht="18" x14ac:dyDescent="0.25">
      <c r="A20" s="1943"/>
      <c r="B20" s="1944"/>
      <c r="C20" s="1945"/>
      <c r="D20" s="1945" t="s">
        <v>409</v>
      </c>
      <c r="E20" s="932"/>
      <c r="F20" s="1716">
        <f>+'RS 9225'!D11</f>
        <v>1961318</v>
      </c>
      <c r="G20" s="1775">
        <f>+'RS 9225'!H11</f>
        <v>300000</v>
      </c>
      <c r="H20" s="1747">
        <f>+'RS 9225'!L11</f>
        <v>0</v>
      </c>
      <c r="I20" s="1006">
        <f>+'RS 9225'!P11</f>
        <v>0</v>
      </c>
      <c r="J20" s="289"/>
      <c r="K20" s="233"/>
      <c r="L20" s="289"/>
    </row>
    <row r="21" spans="1:18" s="1911" customFormat="1" ht="18.75" thickBot="1" x14ac:dyDescent="0.3">
      <c r="A21" s="1946"/>
      <c r="B21" s="1939" t="s">
        <v>738</v>
      </c>
      <c r="C21" s="1947"/>
      <c r="D21" s="1947"/>
      <c r="E21" s="933"/>
      <c r="F21" s="1717">
        <f>SUM(F15:F20)</f>
        <v>16735188.300000001</v>
      </c>
      <c r="G21" s="1672">
        <f>SUM(G15:G20)</f>
        <v>15261310</v>
      </c>
      <c r="H21" s="1748">
        <f>SUM(H15:H20)</f>
        <v>15115206</v>
      </c>
      <c r="I21" s="1007">
        <f>SUM(I15:I20)</f>
        <v>15619082</v>
      </c>
      <c r="J21" s="288"/>
      <c r="K21" s="235"/>
      <c r="L21" s="288"/>
    </row>
    <row r="22" spans="1:18" s="1911" customFormat="1" ht="18.75" thickTop="1" x14ac:dyDescent="0.25">
      <c r="A22" s="1940"/>
      <c r="B22" s="1948"/>
      <c r="C22" s="1949"/>
      <c r="D22" s="1949"/>
      <c r="E22" s="315"/>
      <c r="F22" s="1718"/>
      <c r="G22" s="1776"/>
      <c r="H22" s="1749"/>
      <c r="I22" s="1008"/>
      <c r="J22" s="288"/>
      <c r="K22" s="235"/>
      <c r="L22" s="288"/>
    </row>
    <row r="23" spans="1:18" s="1885" customFormat="1" ht="25.5" customHeight="1" x14ac:dyDescent="0.25">
      <c r="A23" s="1950"/>
      <c r="B23" s="1951" t="s">
        <v>739</v>
      </c>
      <c r="C23" s="1951"/>
      <c r="D23" s="1951"/>
      <c r="E23" s="1025"/>
      <c r="F23" s="1719">
        <f>SUM(F12,F21)</f>
        <v>26977529.210000001</v>
      </c>
      <c r="G23" s="1777">
        <f t="shared" ref="G23:I23" si="3">SUM(G12,G21)</f>
        <v>25379001</v>
      </c>
      <c r="H23" s="1750">
        <f t="shared" si="3"/>
        <v>24389399</v>
      </c>
      <c r="I23" s="1026">
        <f t="shared" si="3"/>
        <v>25037987</v>
      </c>
      <c r="J23" s="971"/>
      <c r="K23" s="967"/>
      <c r="L23" s="972"/>
      <c r="M23" s="1912"/>
      <c r="N23" s="1913"/>
      <c r="O23" s="1914"/>
      <c r="P23" s="1914"/>
      <c r="Q23" s="1914"/>
      <c r="R23" s="1914"/>
    </row>
    <row r="24" spans="1:18" s="1911" customFormat="1" ht="18" x14ac:dyDescent="0.25">
      <c r="A24" s="1952"/>
      <c r="B24" s="1953"/>
      <c r="C24" s="1954"/>
      <c r="D24" s="1954"/>
      <c r="E24" s="324"/>
      <c r="F24" s="1720"/>
      <c r="G24" s="1778"/>
      <c r="H24" s="1751"/>
      <c r="I24" s="1027"/>
      <c r="J24" s="288"/>
      <c r="K24" s="235"/>
      <c r="L24" s="288"/>
    </row>
    <row r="25" spans="1:18" ht="18" x14ac:dyDescent="0.25">
      <c r="A25" s="1927"/>
      <c r="B25" s="1928" t="s">
        <v>365</v>
      </c>
      <c r="C25" s="1929"/>
      <c r="D25" s="1929"/>
      <c r="E25" s="1022"/>
      <c r="F25" s="1721"/>
      <c r="G25" s="1674"/>
      <c r="H25" s="1752"/>
      <c r="I25" s="1023"/>
      <c r="J25" s="294"/>
      <c r="K25" s="237"/>
      <c r="L25" s="294"/>
      <c r="M25" s="1915"/>
      <c r="N25" s="1910"/>
    </row>
    <row r="26" spans="1:18" ht="18" x14ac:dyDescent="0.25">
      <c r="A26" s="1930"/>
      <c r="B26" s="1931"/>
      <c r="C26" s="1120" t="s">
        <v>366</v>
      </c>
      <c r="D26" s="1120"/>
      <c r="E26" s="918"/>
      <c r="F26" s="1722">
        <f>+'RS 3010'!D30+'RS 4035'!D29+'RS 4201'!D30+'RS 4203'!D30+'RS 5640'!D30+'RS 6010'!D30+'RS 6264'!D30+'RS 3310'!D30+'RS 3311'!D30+'RS 6500'!D40+'RS 6512'!D30</f>
        <v>7147020.9800000004</v>
      </c>
      <c r="G26" s="1668">
        <f>+'RS 3010'!H30+'RS 4035'!H29+'RS 4201'!H30+'RS 4203'!H30+'RS 5640'!H30+'RS 6010'!H30+'RS 6264'!H30+'RS 3310'!H30+'RS 3311'!H30+'RS 6500'!H40+'RS 6512'!H30</f>
        <v>7451018</v>
      </c>
      <c r="H26" s="1753">
        <f>+'RS 3010'!L30+'RS 4035'!L29+'RS 4201'!L30+'RS 4203'!L30+'RS 5640'!L30+'RS 6010'!L30+'RS 6264'!L30+'RS 3310'!L30+'RS 3311'!L30+'RS 6500'!L40+'RS 6512'!L30</f>
        <v>7502423</v>
      </c>
      <c r="I26" s="1024">
        <f>+'RS 3010'!P30+'RS 4035'!P29+'RS 4201'!P30+'RS 4203'!P30+'RS 5640'!P30+'RS 6010'!P30+'RS 6264'!P30+'RS 3310'!P30+'RS 3311'!P30+'RS 6500'!P40+'RS 6512'!P30</f>
        <v>7616679</v>
      </c>
      <c r="J26" s="295" t="e">
        <f>+I26*(1+#REF!)</f>
        <v>#REF!</v>
      </c>
      <c r="K26" s="235" t="e">
        <f>+J26*(1+#REF!)</f>
        <v>#REF!</v>
      </c>
      <c r="L26" s="295" t="e">
        <f>+K26*(1+#REF!)</f>
        <v>#REF!</v>
      </c>
      <c r="M26" s="1915"/>
      <c r="N26" s="1910"/>
    </row>
    <row r="27" spans="1:18" ht="18" x14ac:dyDescent="0.25">
      <c r="A27" s="1932"/>
      <c r="B27" s="1933"/>
      <c r="C27" s="1109" t="s">
        <v>367</v>
      </c>
      <c r="D27" s="1109"/>
      <c r="E27" s="919"/>
      <c r="F27" s="1723">
        <f>+'RS 3010'!D41+'RS 4035'!D40+'RS 4201'!D41+'RS 4203'!D41+'RS 5640'!D41+'RS 6010'!D41+'RS 6264'!D41+'RS 3310'!D41+'RS 3311'!D41+'RS 6500'!D51+'RS 6512'!D41+'RS 8150'!D41</f>
        <v>5139039</v>
      </c>
      <c r="G27" s="1670">
        <f>+'RS 3010'!H41+'RS 4035'!H40+'RS 4201'!H41+'RS 4203'!H41+'RS 5640'!H41+'RS 6010'!H41+'RS 6264'!H41+'RS 3310'!H41+'RS 3311'!H41+'RS 6500'!H51+'RS 6512'!H41+'RS 8150'!H41</f>
        <v>5531688</v>
      </c>
      <c r="H27" s="1754">
        <f>+'RS 3010'!L41+'RS 4035'!L40+'RS 4201'!L41+'RS 4203'!L41+'RS 5640'!L41+'RS 6010'!L41+'RS 6264'!L41+'RS 3310'!L41+'RS 3311'!L41+'RS 6500'!L51+'RS 6512'!L41+'RS 8150'!L41</f>
        <v>5611313</v>
      </c>
      <c r="I27" s="1000">
        <f>+'RS 3010'!P41+'RS 4035'!P40+'RS 4201'!P41+'RS 4203'!P41+'RS 5640'!P41+'RS 6010'!P41+'RS 6264'!P41+'RS 3310'!P41+'RS 3311'!P41+'RS 6500'!P51+'RS 6512'!P41+'RS 8150'!P41</f>
        <v>5699503</v>
      </c>
      <c r="J27" s="296" t="e">
        <f>(+I27*(1+#REF!))</f>
        <v>#REF!</v>
      </c>
      <c r="K27" s="227" t="e">
        <f>(+J27*(1+#REF!))</f>
        <v>#REF!</v>
      </c>
      <c r="L27" s="296" t="e">
        <f>(+K27*(1+#REF!))</f>
        <v>#REF!</v>
      </c>
      <c r="M27" s="1915"/>
      <c r="N27" s="1910"/>
    </row>
    <row r="28" spans="1:18" ht="18" hidden="1" x14ac:dyDescent="0.25">
      <c r="A28" s="2121"/>
      <c r="B28" s="2122"/>
      <c r="C28" s="2123"/>
      <c r="D28" s="2123"/>
      <c r="E28" s="2114"/>
      <c r="F28" s="1723"/>
      <c r="G28" s="1670"/>
      <c r="H28" s="1754"/>
      <c r="I28" s="1000"/>
      <c r="J28" s="296"/>
      <c r="K28" s="227"/>
      <c r="L28" s="296"/>
      <c r="M28" s="1915"/>
      <c r="N28" s="1910"/>
    </row>
    <row r="29" spans="1:18" ht="18" hidden="1" x14ac:dyDescent="0.25">
      <c r="A29" s="2121"/>
      <c r="B29" s="2122"/>
      <c r="C29" s="2123"/>
      <c r="D29" s="2123"/>
      <c r="E29" s="2114"/>
      <c r="F29" s="1723"/>
      <c r="G29" s="1670"/>
      <c r="H29" s="1754"/>
      <c r="I29" s="1000"/>
      <c r="J29" s="296"/>
      <c r="K29" s="227"/>
      <c r="L29" s="296"/>
      <c r="M29" s="1915"/>
      <c r="N29" s="1910"/>
    </row>
    <row r="30" spans="1:18" ht="18" hidden="1" x14ac:dyDescent="0.25">
      <c r="A30" s="2121"/>
      <c r="B30" s="2122"/>
      <c r="C30" s="2123"/>
      <c r="D30" s="2123"/>
      <c r="E30" s="2114"/>
      <c r="F30" s="1723"/>
      <c r="G30" s="1670"/>
      <c r="H30" s="1754"/>
      <c r="I30" s="1000"/>
      <c r="J30" s="296"/>
      <c r="K30" s="227"/>
      <c r="L30" s="296"/>
      <c r="M30" s="1915"/>
      <c r="N30" s="1910"/>
    </row>
    <row r="31" spans="1:18" ht="18" hidden="1" x14ac:dyDescent="0.25">
      <c r="A31" s="2121"/>
      <c r="B31" s="2122"/>
      <c r="C31" s="2123"/>
      <c r="D31" s="2123"/>
      <c r="E31" s="2114"/>
      <c r="F31" s="1723"/>
      <c r="G31" s="1670"/>
      <c r="H31" s="1754"/>
      <c r="I31" s="1000"/>
      <c r="J31" s="296"/>
      <c r="K31" s="227"/>
      <c r="L31" s="296"/>
      <c r="M31" s="1915"/>
      <c r="N31" s="1910"/>
    </row>
    <row r="32" spans="1:18" s="1918" customFormat="1" ht="18" x14ac:dyDescent="0.25">
      <c r="A32" s="1932"/>
      <c r="B32" s="1933"/>
      <c r="C32" s="1109" t="s">
        <v>368</v>
      </c>
      <c r="D32" s="1109"/>
      <c r="E32" s="919"/>
      <c r="F32" s="1723"/>
      <c r="G32" s="1670"/>
      <c r="H32" s="1754"/>
      <c r="I32" s="1000"/>
      <c r="J32" s="296"/>
      <c r="K32" s="227"/>
      <c r="L32" s="296"/>
      <c r="M32" s="1916"/>
      <c r="N32" s="1917"/>
    </row>
    <row r="33" spans="1:14" ht="18" x14ac:dyDescent="0.25">
      <c r="A33" s="1932"/>
      <c r="B33" s="1933"/>
      <c r="C33" s="1109"/>
      <c r="D33" s="1934" t="s">
        <v>76</v>
      </c>
      <c r="E33" s="922"/>
      <c r="F33" s="1724">
        <f>+'RS 3010'!D44+'RS 4035'!D43+'RS 4203'!D44+'RS 5640'!D44+'RS 6010'!D44+'RS 6264'!D44+'RS 3310'!D44+'RS 3311'!D44+'RS 6500'!D54+'RS 6512'!D44+'RS 8150'!D44</f>
        <v>944865</v>
      </c>
      <c r="G33" s="1669">
        <f>+'RS 3010'!H44+'RS 4035'!H43+'RS 4203'!H44+'RS 5640'!H44+'RS 6010'!H44+'RS 6264'!H44+'RS 3310'!H44+'RS 3311'!H44+'RS 6500'!H54+'RS 6512'!H44+'RS 8150'!H44</f>
        <v>1107263</v>
      </c>
      <c r="H33" s="1755">
        <f>+'RS 3010'!L44+'RS 4035'!L43+'RS 4203'!L44+'RS 5640'!L44+'RS 6010'!L44+'RS 6264'!L44+'RS 3310'!L44+'RS 3311'!L44+'RS 6500'!L54+'RS 6512'!L44+'RS 8150'!L44</f>
        <v>1223666</v>
      </c>
      <c r="I33" s="1001">
        <f>+'RS 3010'!P44+'RS 4035'!P43+'RS 4203'!P44+'RS 5640'!P44+'RS 6010'!P44+'RS 6264'!P44+'RS 3310'!P44+'RS 3311'!P44+'RS 6500'!P54+'RS 6512'!P44+'RS 8150'!P44</f>
        <v>1383153</v>
      </c>
      <c r="J33" s="297">
        <v>1445113.5236955204</v>
      </c>
      <c r="K33" s="232">
        <v>1608861.5312168831</v>
      </c>
      <c r="L33" s="297">
        <v>1777196.8284210551</v>
      </c>
      <c r="M33" s="1915"/>
      <c r="N33" s="1910"/>
    </row>
    <row r="34" spans="1:14" ht="18" x14ac:dyDescent="0.25">
      <c r="A34" s="1932"/>
      <c r="B34" s="1933"/>
      <c r="C34" s="1109"/>
      <c r="D34" s="1934" t="s">
        <v>77</v>
      </c>
      <c r="E34" s="922"/>
      <c r="F34" s="1724">
        <f>+'RS 3010'!D45+'RS 4035'!D44+'RS 4203'!D45+'RS 5640'!D45+'RS 6010'!D45+'RS 6264'!D45+'RS 3310'!D45+'RS 3311'!D45+'RS 6500'!D55+'RS 6512'!D45+'RS 8150'!D45</f>
        <v>673857</v>
      </c>
      <c r="G34" s="1669">
        <f>+'RS 3010'!H45+'RS 4035'!H44+'RS 4203'!H45+'RS 5640'!H45+'RS 6010'!H45+'RS 6264'!H45+'RS 3310'!H45+'RS 3311'!H45+'RS 6500'!H55+'RS 6512'!H45+'RS 8150'!H45</f>
        <v>824601</v>
      </c>
      <c r="H34" s="1755">
        <f>+'RS 3010'!L45+'RS 4035'!L44+'RS 4203'!L45+'RS 5640'!L45+'RS 6010'!L45+'RS 6264'!L45+'RS 3310'!L45+'RS 3311'!L45+'RS 6500'!L55+'RS 6512'!L45+'RS 8150'!L45</f>
        <v>997081</v>
      </c>
      <c r="I34" s="1001">
        <f>+'RS 3010'!P45+'RS 4035'!P44+'RS 4203'!P45+'RS 5640'!P45+'RS 6010'!P45+'RS 6264'!P45+'RS 3310'!P45+'RS 3311'!P45+'RS 6500'!P55+'RS 6512'!P45+'RS 8150'!P45</f>
        <v>1163793</v>
      </c>
      <c r="J34" s="297">
        <v>1355780.6508937904</v>
      </c>
      <c r="K34" s="232">
        <v>1459015.9968413657</v>
      </c>
      <c r="L34" s="297">
        <v>1536995.9806119401</v>
      </c>
      <c r="M34" s="1915"/>
      <c r="N34" s="1910"/>
    </row>
    <row r="35" spans="1:14" ht="18" x14ac:dyDescent="0.25">
      <c r="A35" s="1932"/>
      <c r="B35" s="1933"/>
      <c r="C35" s="1109"/>
      <c r="D35" s="1109" t="s">
        <v>410</v>
      </c>
      <c r="E35" s="919"/>
      <c r="F35" s="1723">
        <f>+'RS 3010'!D46+'RS 4035'!D45+'RS 4203'!D46+'RS 5640'!D46+'RS 6010'!D46+'RS 6264'!D46+'RS 3310'!D46+'RS 3311'!D46+'RS 6500'!D56+'RS 6512'!D46+'RS 8150'!D46</f>
        <v>296675</v>
      </c>
      <c r="G35" s="1670">
        <f>+'RS 3010'!H46+'RS 4035'!H45+'RS 4203'!H46+'RS 5640'!H46+'RS 6010'!H46+'RS 6264'!H46+'RS 3310'!H46+'RS 3311'!H46+'RS 6500'!H56+'RS 6512'!H46+'RS 8150'!H46</f>
        <v>329625</v>
      </c>
      <c r="H35" s="1754">
        <f>+'RS 3010'!L46+'RS 4035'!L45+'RS 4203'!L46+'RS 5640'!L46+'RS 6010'!L46+'RS 6264'!L46+'RS 3310'!L46+'RS 3311'!L46+'RS 6500'!L56+'RS 6512'!L46+'RS 8150'!L46</f>
        <v>347037</v>
      </c>
      <c r="I35" s="1000">
        <f>+'RS 3010'!P46+'RS 4035'!P45+'RS 4203'!P46+'RS 5640'!P46+'RS 6010'!P46+'RS 6264'!P46+'RS 3310'!P46+'RS 3311'!P46+'RS 6500'!P56+'RS 6512'!P46+'RS 8150'!P46</f>
        <v>352503</v>
      </c>
      <c r="J35" s="296">
        <v>337583.93717034138</v>
      </c>
      <c r="K35" s="227">
        <v>342647.69622789649</v>
      </c>
      <c r="L35" s="296">
        <v>347787.41167131491</v>
      </c>
      <c r="M35" s="1915"/>
      <c r="N35" s="1910"/>
    </row>
    <row r="36" spans="1:14" ht="18" x14ac:dyDescent="0.25">
      <c r="A36" s="1932"/>
      <c r="B36" s="1933"/>
      <c r="C36" s="1109"/>
      <c r="D36" s="1109" t="s">
        <v>79</v>
      </c>
      <c r="E36" s="919"/>
      <c r="F36" s="1723">
        <f>+'RS 3010'!D47+'RS 4035'!D46+'RS 4203'!D47+'RS 5640'!D47+'RS 6010'!D47+'RS 6264'!D47+'RS 3310'!D47+'RS 3311'!D47+'RS 6500'!D57+'RS 6512'!D47+'RS 8150'!D47</f>
        <v>179568</v>
      </c>
      <c r="G36" s="1670">
        <f>+'RS 3010'!H47+'RS 4035'!H46+'RS 4203'!H47+'RS 5640'!H47+'RS 6010'!H47+'RS 6264'!H47+'RS 3310'!H47+'RS 3311'!H47+'RS 6500'!H57+'RS 6512'!H47+'RS 8150'!H47</f>
        <v>189173</v>
      </c>
      <c r="H36" s="1754">
        <f>+'RS 3010'!L47+'RS 4035'!L46+'RS 4203'!L47+'RS 5640'!L47+'RS 6010'!L47+'RS 6264'!L47+'RS 3310'!L47+'RS 3311'!L47+'RS 6500'!L57+'RS 6512'!L47+'RS 8150'!L47</f>
        <v>190148</v>
      </c>
      <c r="I36" s="1000">
        <f>+'RS 3010'!P47+'RS 4035'!P46+'RS 4203'!P47+'RS 5640'!P47+'RS 6010'!P47+'RS 6264'!P47+'RS 3310'!P47+'RS 3311'!P47+'RS 6500'!P57+'RS 6512'!P47+'RS 8150'!P47</f>
        <v>193082</v>
      </c>
      <c r="J36" s="296">
        <v>188658.65325076281</v>
      </c>
      <c r="K36" s="227">
        <v>191488.53304952424</v>
      </c>
      <c r="L36" s="296">
        <v>194360.86104526708</v>
      </c>
      <c r="M36" s="1886"/>
      <c r="N36" s="1910"/>
    </row>
    <row r="37" spans="1:14" ht="18" x14ac:dyDescent="0.25">
      <c r="A37" s="1955"/>
      <c r="B37" s="1956"/>
      <c r="C37" s="1957"/>
      <c r="D37" s="1957" t="s">
        <v>80</v>
      </c>
      <c r="E37" s="928"/>
      <c r="F37" s="1723">
        <f>+'RS 3010'!D48+'RS 4035'!D47+'RS 4203'!D48+'RS 5640'!D48+'RS 6010'!D48+'RS 6264'!D48+'RS 3310'!D48+'RS 3311'!D48+'RS 6500'!D58+'RS 6512'!D48+'RS 8150'!D48</f>
        <v>1021207</v>
      </c>
      <c r="G37" s="1684">
        <f>+'RS 3010'!H48+'RS 4035'!H47+'RS 4203'!H48+'RS 5640'!H48+'RS 6010'!H48+'RS 6264'!H48+'RS 3310'!H48+'RS 3311'!H48+'RS 6500'!H58+'RS 6512'!H48+'RS 8150'!H48</f>
        <v>1086956</v>
      </c>
      <c r="H37" s="1756">
        <f>+'RS 3010'!L48+'RS 4035'!L47+'RS 4203'!L48+'RS 5640'!L48+'RS 6010'!L48+'RS 6264'!L48+'RS 3310'!L48+'RS 3311'!L48+'RS 6500'!L58+'RS 6512'!L48+'RS 8150'!L48</f>
        <v>1154979</v>
      </c>
      <c r="I37" s="1009">
        <f>+'RS 3010'!P48+'RS 4035'!P47+'RS 4203'!P48+'RS 5640'!P48+'RS 6010'!P48+'RS 6264'!P48+'RS 3310'!P48+'RS 3311'!P48+'RS 6500'!P58+'RS 6512'!P48+'RS 8150'!P48</f>
        <v>1235828</v>
      </c>
      <c r="J37" s="298">
        <v>1319244.1824057461</v>
      </c>
      <c r="K37" s="244">
        <v>1385206.3915260334</v>
      </c>
      <c r="L37" s="298">
        <v>1454466.7111023352</v>
      </c>
      <c r="M37" s="1886"/>
      <c r="N37" s="1910"/>
    </row>
    <row r="38" spans="1:14" ht="18" x14ac:dyDescent="0.25">
      <c r="A38" s="1932"/>
      <c r="B38" s="1933"/>
      <c r="C38" s="1109"/>
      <c r="D38" s="1109" t="s">
        <v>81</v>
      </c>
      <c r="E38" s="919"/>
      <c r="F38" s="1723">
        <f>+'RS 3010'!D49+'RS 4035'!D48+'RS 4203'!D49+'RS 5640'!D49+'RS 6010'!D49+'RS 6264'!D49+'RS 3310'!D49+'RS 3311'!D49+'RS 6500'!D59+'RS 6512'!D49+'RS 8150'!D49</f>
        <v>6269</v>
      </c>
      <c r="G38" s="1670">
        <f>+'RS 3010'!H49+'RS 4035'!H48+'RS 4203'!H49+'RS 5640'!H49+'RS 6010'!H49+'RS 6264'!H49+'RS 3310'!H49+'RS 3311'!H49+'RS 6500'!H59+'RS 6512'!H49+'RS 8150'!H49</f>
        <v>6538</v>
      </c>
      <c r="H38" s="1754">
        <f>+'RS 3010'!L49+'RS 4035'!L48+'RS 4203'!L49+'RS 5640'!L49+'RS 6010'!L49+'RS 6264'!L49+'RS 3310'!L49+'RS 3311'!L49+'RS 6500'!L59+'RS 6512'!L49+'RS 8150'!L49</f>
        <v>6556</v>
      </c>
      <c r="I38" s="1000">
        <f>+'RS 3010'!P49+'RS 4035'!P48+'RS 4203'!P49+'RS 5640'!P49+'RS 6010'!P49+'RS 6264'!P49+'RS 3310'!P49+'RS 3311'!P49+'RS 6500'!P59+'RS 6512'!P49+'RS 8150'!P49</f>
        <v>6657</v>
      </c>
      <c r="J38" s="296">
        <v>6505.4708017504418</v>
      </c>
      <c r="K38" s="227">
        <v>6603.0528637766984</v>
      </c>
      <c r="L38" s="296">
        <v>6702.0986567333475</v>
      </c>
      <c r="M38" s="1886"/>
      <c r="N38" s="1910"/>
    </row>
    <row r="39" spans="1:14" ht="18" x14ac:dyDescent="0.25">
      <c r="A39" s="1932"/>
      <c r="B39" s="1933"/>
      <c r="C39" s="1109"/>
      <c r="D39" s="1109" t="s">
        <v>82</v>
      </c>
      <c r="E39" s="919"/>
      <c r="F39" s="1723">
        <f>+'RS 3010'!D50+'RS 4035'!D49+'RS 4203'!D50+'RS 5640'!D50+'RS 6010'!D50+'RS 6264'!D50+'RS 3310'!D50+'RS 3311'!D50+'RS 6500'!D60+'RS 6512'!D50+'RS 8150'!D50</f>
        <v>136957</v>
      </c>
      <c r="G39" s="1670">
        <f>+'RS 3010'!H50+'RS 4035'!H49+'RS 4203'!H50+'RS 5640'!H50+'RS 6010'!H50+'RS 6264'!H50+'RS 3310'!H50+'RS 3311'!H50+'RS 6500'!H60+'RS 6512'!H50+'RS 8150'!H50</f>
        <v>143524</v>
      </c>
      <c r="H39" s="1754">
        <f>+'RS 3010'!L50+'RS 4035'!L49+'RS 4203'!L50+'RS 5640'!L50+'RS 6010'!L50+'RS 6264'!L50+'RS 3310'!L50+'RS 3311'!L50+'RS 6500'!L60+'RS 6512'!L50+'RS 8150'!L50</f>
        <v>144252</v>
      </c>
      <c r="I39" s="1000">
        <f>+'RS 3010'!P50+'RS 4035'!P49+'RS 4203'!P50+'RS 5640'!P50+'RS 6010'!P50+'RS 6264'!P50+'RS 3310'!P50+'RS 3311'!P50+'RS 6500'!P60+'RS 6512'!P50+'RS 8150'!P50</f>
        <v>146478</v>
      </c>
      <c r="J39" s="296">
        <v>130109.41603500885</v>
      </c>
      <c r="K39" s="227">
        <v>132061.05727553397</v>
      </c>
      <c r="L39" s="296">
        <v>134041.97313466697</v>
      </c>
      <c r="M39" s="1886"/>
      <c r="N39" s="1910"/>
    </row>
    <row r="40" spans="1:14" ht="18" x14ac:dyDescent="0.25">
      <c r="A40" s="1932"/>
      <c r="B40" s="1933"/>
      <c r="C40" s="1109"/>
      <c r="D40" s="1109" t="s">
        <v>92</v>
      </c>
      <c r="E40" s="919"/>
      <c r="F40" s="1723">
        <v>0</v>
      </c>
      <c r="G40" s="1670">
        <v>0</v>
      </c>
      <c r="H40" s="1754">
        <v>0</v>
      </c>
      <c r="I40" s="1000">
        <v>0</v>
      </c>
      <c r="J40" s="296"/>
      <c r="K40" s="227"/>
      <c r="L40" s="296"/>
      <c r="M40" s="1886"/>
      <c r="N40" s="1910"/>
    </row>
    <row r="41" spans="1:14" ht="18" x14ac:dyDescent="0.25">
      <c r="A41" s="1932"/>
      <c r="B41" s="1933"/>
      <c r="C41" s="1109"/>
      <c r="D41" s="1109" t="s">
        <v>93</v>
      </c>
      <c r="E41" s="919"/>
      <c r="F41" s="1723">
        <f>+'RS 3010'!D51+'RS 4035'!D50+'RS 4203'!D51+'RS 5640'!D51+'RS 6010'!D51+'RS 6264'!D51+'RS 3310'!D51+'RS 3311'!D51+'RS 6500'!D61+'RS 6512'!D51+'RS 8150'!D51</f>
        <v>60813</v>
      </c>
      <c r="G41" s="1670">
        <f>+'RS 3010'!H51+'RS 4035'!H50+'RS 4203'!H51+'RS 5640'!H51+'RS 6010'!H51+'RS 6264'!H51+'RS 3310'!H51+'RS 3311'!H51+'RS 6500'!H61+'RS 6512'!H51+'RS 8150'!H51</f>
        <v>63171</v>
      </c>
      <c r="H41" s="1754">
        <f>+'RS 3010'!L51+'RS 4035'!L50+'RS 4203'!L51+'RS 5640'!L51+'RS 6010'!L51+'RS 6264'!L51+'RS 3310'!L51+'RS 3311'!L51+'RS 6500'!L61+'RS 6512'!L51+'RS 8150'!L51</f>
        <v>62171</v>
      </c>
      <c r="I41" s="1000">
        <f>+'RS 3010'!P51+'RS 4035'!P50+'RS 4203'!P51+'RS 5640'!P51+'RS 6010'!P51+'RS 6264'!P51+'RS 3310'!P51+'RS 3311'!P51+'RS 6500'!P61+'RS 6512'!P51+'RS 8150'!P51</f>
        <v>62171</v>
      </c>
      <c r="J41" s="296"/>
      <c r="K41" s="227"/>
      <c r="L41" s="296"/>
      <c r="M41" s="1886"/>
      <c r="N41" s="1910"/>
    </row>
    <row r="42" spans="1:14" ht="26.25" customHeight="1" x14ac:dyDescent="0.25">
      <c r="A42" s="1932"/>
      <c r="B42" s="1933"/>
      <c r="C42" s="1109" t="str">
        <f>UNRESTRICTED!C42</f>
        <v>Other Supplies &amp; Materials</v>
      </c>
      <c r="D42" s="1109"/>
      <c r="E42" s="919"/>
      <c r="F42" s="1723">
        <f>+'RS 3010'!D66+'RS 4035'!D65+'RS 4201'!D66+'RS 4203'!D66+'RS 5640'!D66+'RS 6010'!D66+'RS 6264'!D66+'RS 3310'!D66+'RS 3311'!D66+'RS 6500'!D76+'RS 6512'!D66+'RS 6230'!D66+'RS 7810'!D66+'RS 8150'!D69+'RS 9225'!D66+'RS 9076'!D66</f>
        <v>1156142.3400000001</v>
      </c>
      <c r="G42" s="1670">
        <f>+'RS 3010'!H66+'RS 4035'!H65+'RS 4201'!H66+'RS 4203'!H66+'RS 5640'!H66+'RS 6010'!H66+'RS 6264'!H66+'RS 3310'!H66+'RS 3311'!H66+'RS 6500'!H76+'RS 6512'!H66+'RS 6230'!H66+'RS 7810'!H66+'RS 8150'!H69+'RS 9225'!H66+'RS 9076'!H66+'RS 9221'!H66+'RS 9222'!H66</f>
        <v>796449</v>
      </c>
      <c r="H42" s="1754">
        <f>+'RS 3010'!L66+'RS 4035'!L65+'RS 4201'!L66+'RS 4203'!L66+'RS 5640'!L66+'RS 6010'!L66+'RS 6264'!L66+'RS 3310'!L66+'RS 3311'!L66+'RS 6500'!L76+'RS 6512'!L66+'RS 6230'!L66+'RS 7810'!L66+'RS 8150'!L69+'RS 9225'!L66+'RS 9076'!L66+'RS 9221'!L15+'RS 9222'!P15</f>
        <v>627786</v>
      </c>
      <c r="I42" s="1000">
        <f>+'RS 3010'!P66+'RS 4035'!P65+'RS 4201'!P66+'RS 4203'!P66+'RS 5640'!P66+'RS 6010'!P66+'RS 6264'!P66+'RS 3310'!P66+'RS 3311'!P66+'RS 6500'!P76+'RS 6512'!P66+'RS 6230'!P66+'RS 7810'!P66+'RS 8150'!P69+'RS 9225'!P66+'RS 9076'!P66+'RS 9221'!P66+'RS 9222'!P66</f>
        <v>598708</v>
      </c>
      <c r="J42" s="296" t="e">
        <v>#REF!</v>
      </c>
      <c r="K42" s="227" t="e">
        <v>#REF!</v>
      </c>
      <c r="L42" s="296" t="e">
        <v>#REF!</v>
      </c>
      <c r="M42" s="1893"/>
      <c r="N42" s="1910"/>
    </row>
    <row r="43" spans="1:14" s="1918" customFormat="1" ht="39" customHeight="1" x14ac:dyDescent="0.2">
      <c r="A43" s="1958"/>
      <c r="B43" s="1959"/>
      <c r="C43" s="1960"/>
      <c r="D43" s="1961" t="s">
        <v>722</v>
      </c>
      <c r="E43" s="930"/>
      <c r="F43" s="1725">
        <f>+'RS 6300'!D62</f>
        <v>654258</v>
      </c>
      <c r="G43" s="1685">
        <f>+'RS 6300'!H62</f>
        <v>1615196</v>
      </c>
      <c r="H43" s="1757">
        <f>+'RS 6300'!L62</f>
        <v>407811.08000000007</v>
      </c>
      <c r="I43" s="1010">
        <f>+'RS 6300'!P62</f>
        <v>365118</v>
      </c>
      <c r="J43" s="299">
        <v>200000</v>
      </c>
      <c r="K43" s="245">
        <v>0</v>
      </c>
      <c r="L43" s="299">
        <v>1180788</v>
      </c>
      <c r="M43" s="1886"/>
      <c r="N43" s="1917"/>
    </row>
    <row r="44" spans="1:14" ht="18" x14ac:dyDescent="0.25">
      <c r="A44" s="1932"/>
      <c r="B44" s="1933"/>
      <c r="C44" s="1109" t="s">
        <v>395</v>
      </c>
      <c r="D44" s="1109"/>
      <c r="E44" s="919"/>
      <c r="F44" s="1709">
        <f>+'RS 3010'!D82+'RS 4035'!D81+'RS 4201'!D82+'RS 4203'!D82+'RS 5640'!D82+'RS 6010'!D82+'RS 6264'!D82+'RS 3310'!D82+'RS 3311'!D82+'RS 6500'!D94+'RS 6512'!D82+'RS 6230'!D82+'RS 7810'!D82+'RS 8150'!D89+'RS 9225'!D82+'RS 9076'!D82</f>
        <v>6382938.9500000002</v>
      </c>
      <c r="G44" s="1670">
        <f>+'RS 3010'!H82+'RS 4035'!H81+'RS 4201'!H82+'RS 4203'!H82+'RS 5640'!H82+'RS 6010'!H82+'RS 6264'!H82+'RS 3310'!H82+'RS 3311'!H82+'RS 6500'!H94+'RS 6512'!H82+'RS 6230'!H82+'RS 7810'!H82+'RS 8150'!H89+'RS 9225'!H82+'RS 9076'!H82</f>
        <v>5557488</v>
      </c>
      <c r="H44" s="1754">
        <f>+'RS 3010'!L82+'RS 4035'!L81+'RS 4201'!L82+'RS 4203'!L82+'RS 5640'!L82+'RS 6010'!L82+'RS 6264'!L82+'RS 3310'!L82+'RS 3311'!L82+'RS 6500'!L94+'RS 6512'!L82+'RS 6230'!L82+'RS 7810'!L82+'RS 8150'!L89+'RS 9225'!L82+'RS 9076'!L82</f>
        <v>4070340.83</v>
      </c>
      <c r="I44" s="1000">
        <f>+'RS 3010'!P82+'RS 4035'!P81+'RS 4201'!P82+'RS 4203'!P82+'RS 5640'!P82+'RS 6010'!P82+'RS 6264'!P82+'RS 3310'!P82+'RS 3311'!P82+'RS 6500'!P94+'RS 6512'!P82+'RS 6230'!P82+'RS 7810'!P82+'RS 8150'!P89+'RS 9225'!P82+'RS 9076'!P82</f>
        <v>4012132</v>
      </c>
      <c r="J44" s="296" t="e">
        <v>#REF!</v>
      </c>
      <c r="K44" s="227" t="e">
        <v>#REF!</v>
      </c>
      <c r="L44" s="296" t="e">
        <v>#REF!</v>
      </c>
      <c r="M44" s="1893"/>
      <c r="N44" s="1910"/>
    </row>
    <row r="45" spans="1:14" ht="18" x14ac:dyDescent="0.25">
      <c r="A45" s="2120"/>
      <c r="B45" s="2112"/>
      <c r="C45" s="2113"/>
      <c r="D45" s="2113"/>
      <c r="E45" s="2114"/>
      <c r="F45" s="1709"/>
      <c r="G45" s="1670"/>
      <c r="H45" s="1754"/>
      <c r="I45" s="1000"/>
      <c r="J45" s="296"/>
      <c r="K45" s="227"/>
      <c r="L45" s="296"/>
      <c r="M45" s="1893"/>
      <c r="N45" s="1910"/>
    </row>
    <row r="46" spans="1:14" s="1918" customFormat="1" ht="18" x14ac:dyDescent="0.25">
      <c r="A46" s="1932"/>
      <c r="B46" s="1933"/>
      <c r="C46" s="1109" t="s">
        <v>342</v>
      </c>
      <c r="D46" s="1109"/>
      <c r="E46" s="919"/>
      <c r="F46" s="1709">
        <f>+'RS 8150'!D95+'RS 9225'!D96</f>
        <v>1647088</v>
      </c>
      <c r="G46" s="1670">
        <f>+'RS 8150'!H95+'RS 9225'!H96</f>
        <v>3039604</v>
      </c>
      <c r="H46" s="1754">
        <f>+'RS 8150'!L95+'RS 9225'!L96</f>
        <v>200000</v>
      </c>
      <c r="I46" s="1000">
        <f>+'RS 8150'!P95+'RS 9225'!P96</f>
        <v>150000</v>
      </c>
      <c r="J46" s="296" t="e">
        <v>#REF!</v>
      </c>
      <c r="K46" s="233" t="e">
        <v>#REF!</v>
      </c>
      <c r="L46" s="296" t="e">
        <v>#REF!</v>
      </c>
      <c r="M46" s="1886"/>
      <c r="N46" s="1917"/>
    </row>
    <row r="47" spans="1:14" ht="18" x14ac:dyDescent="0.25">
      <c r="A47" s="1932"/>
      <c r="B47" s="1933"/>
      <c r="C47" s="1109" t="s">
        <v>396</v>
      </c>
      <c r="D47" s="1109"/>
      <c r="E47" s="919"/>
      <c r="F47" s="1709">
        <f>+'RS 3310'!D89+'RS 6500'!D101</f>
        <v>1343902</v>
      </c>
      <c r="G47" s="1670">
        <f>+'RS 3310'!H89+'RS 6500'!H101</f>
        <v>1478845</v>
      </c>
      <c r="H47" s="1754">
        <f>+'RS 3310'!L89+'RS 6500'!L101</f>
        <v>1478845</v>
      </c>
      <c r="I47" s="1000">
        <f>+'RS 3310'!P89+'RS 6500'!P101</f>
        <v>1478845</v>
      </c>
      <c r="J47" s="296" t="e">
        <f>(+I47)*(1+#REF!)</f>
        <v>#REF!</v>
      </c>
      <c r="K47" s="233" t="e">
        <f>(+J47)*(1+#REF!)</f>
        <v>#REF!</v>
      </c>
      <c r="L47" s="296" t="e">
        <f>(+K47)*(1+#REF!)</f>
        <v>#REF!</v>
      </c>
      <c r="M47" s="1886"/>
      <c r="N47" s="1910"/>
    </row>
    <row r="48" spans="1:14" ht="18" x14ac:dyDescent="0.25">
      <c r="A48" s="1935"/>
      <c r="B48" s="1936"/>
      <c r="C48" s="1937" t="s">
        <v>397</v>
      </c>
      <c r="D48" s="1937"/>
      <c r="E48" s="932"/>
      <c r="F48" s="1716">
        <f>+'RS 3010'!D14+'RS 4035'!D13+'RS 4201'!D13+'RS 4203'!D13+'RS 5640'!D13+'RS 6010'!D13+'RS 6264'!D13+'RS 3310'!D13+'RS 3311'!D13+'RS 6500'!D16+'RS 6512'!D13</f>
        <v>606260</v>
      </c>
      <c r="G48" s="1775">
        <f>+'RS 3010'!H14+'RS 4035'!H13+'RS 4201'!H13+'RS 4203'!H13+'RS 5640'!H13+'RS 6010'!H13+'RS 6264'!H13+'RS 3310'!H13+'RS 3311'!H13+'RS 6500'!H16+'RS 6512'!H13</f>
        <v>766032</v>
      </c>
      <c r="H48" s="1758">
        <f>+'RS 3010'!L14+'RS 4035'!L13+'RS 4201'!L13+'RS 4203'!L13+'RS 5640'!L13+'RS 6010'!L13+'RS 6264'!L13+'RS 3310'!L13+'RS 3311'!L13+'RS 6500'!L16+'RS 6512'!L13</f>
        <v>749745</v>
      </c>
      <c r="I48" s="1006">
        <f>+'RS 3010'!P14+'RS 4035'!P13+'RS 4201'!P13+'RS 4203'!P13+'RS 5640'!P13+'RS 6010'!P13+'RS 6264'!P13+'RS 3310'!P13+'RS 3311'!P13+'RS 6500'!P16+'RS 6512'!P13</f>
        <v>773636</v>
      </c>
      <c r="J48" s="300" t="e">
        <f>SUM(J26:J44)*0.024</f>
        <v>#REF!</v>
      </c>
      <c r="K48" s="246" t="e">
        <f>SUM(K26:K44)*0.024</f>
        <v>#REF!</v>
      </c>
      <c r="L48" s="300" t="e">
        <f>SUM(L26:L44)*0.024</f>
        <v>#REF!</v>
      </c>
      <c r="M48" s="1886"/>
      <c r="N48" s="1910"/>
    </row>
    <row r="49" spans="1:37" ht="18.75" thickBot="1" x14ac:dyDescent="0.3">
      <c r="A49" s="1946"/>
      <c r="B49" s="1939" t="s">
        <v>374</v>
      </c>
      <c r="C49" s="1947"/>
      <c r="D49" s="1947"/>
      <c r="E49" s="933"/>
      <c r="F49" s="1717">
        <f t="shared" ref="F49:L49" si="4">SUM(F26:F48)</f>
        <v>27396860.27</v>
      </c>
      <c r="G49" s="1672">
        <f t="shared" si="4"/>
        <v>29987171</v>
      </c>
      <c r="H49" s="1759">
        <f t="shared" si="4"/>
        <v>24774153.909999996</v>
      </c>
      <c r="I49" s="1007">
        <f t="shared" si="4"/>
        <v>25238286</v>
      </c>
      <c r="J49" s="301" t="e">
        <f t="shared" si="4"/>
        <v>#REF!</v>
      </c>
      <c r="K49" s="235" t="e">
        <f t="shared" si="4"/>
        <v>#REF!</v>
      </c>
      <c r="L49" s="301" t="e">
        <f t="shared" si="4"/>
        <v>#REF!</v>
      </c>
      <c r="M49" s="1886"/>
    </row>
    <row r="50" spans="1:37" ht="18.75" thickTop="1" x14ac:dyDescent="0.25">
      <c r="A50" s="1940"/>
      <c r="B50" s="1941"/>
      <c r="C50" s="1942"/>
      <c r="D50" s="1942"/>
      <c r="E50" s="237"/>
      <c r="F50" s="1714"/>
      <c r="G50" s="1677"/>
      <c r="H50" s="1760"/>
      <c r="I50" s="1005"/>
      <c r="J50" s="294"/>
      <c r="K50" s="237"/>
      <c r="L50" s="294"/>
    </row>
    <row r="51" spans="1:37" ht="18" x14ac:dyDescent="0.25">
      <c r="A51" s="1927"/>
      <c r="B51" s="1928" t="s">
        <v>740</v>
      </c>
      <c r="C51" s="1929"/>
      <c r="D51" s="1929"/>
      <c r="E51" s="1022"/>
      <c r="F51" s="1726"/>
      <c r="G51" s="1674"/>
      <c r="H51" s="1752"/>
      <c r="I51" s="1023"/>
      <c r="J51" s="294"/>
      <c r="K51" s="237"/>
      <c r="L51" s="294"/>
    </row>
    <row r="52" spans="1:37" ht="18" x14ac:dyDescent="0.25">
      <c r="A52" s="1930"/>
      <c r="B52" s="1931"/>
      <c r="C52" s="1120" t="s">
        <v>375</v>
      </c>
      <c r="D52" s="1120"/>
      <c r="E52" s="1020"/>
      <c r="F52" s="1727">
        <v>0</v>
      </c>
      <c r="G52" s="1779">
        <f>+F52</f>
        <v>0</v>
      </c>
      <c r="H52" s="1761">
        <f>+G52</f>
        <v>0</v>
      </c>
      <c r="I52" s="1021">
        <f t="shared" ref="I52:L52" si="5">+H52</f>
        <v>0</v>
      </c>
      <c r="J52" s="302">
        <f t="shared" si="5"/>
        <v>0</v>
      </c>
      <c r="K52" s="227">
        <f t="shared" si="5"/>
        <v>0</v>
      </c>
      <c r="L52" s="302">
        <f t="shared" si="5"/>
        <v>0</v>
      </c>
    </row>
    <row r="53" spans="1:37" ht="18" x14ac:dyDescent="0.25">
      <c r="A53" s="1932"/>
      <c r="B53" s="1933"/>
      <c r="C53" s="1109" t="s">
        <v>377</v>
      </c>
      <c r="D53" s="1109"/>
      <c r="E53" s="919"/>
      <c r="F53" s="1709">
        <v>0</v>
      </c>
      <c r="G53" s="1670">
        <v>0</v>
      </c>
      <c r="H53" s="1740">
        <v>0</v>
      </c>
      <c r="I53" s="1000">
        <v>0</v>
      </c>
      <c r="J53" s="302">
        <v>0</v>
      </c>
      <c r="K53" s="227">
        <v>0</v>
      </c>
      <c r="L53" s="302">
        <v>0</v>
      </c>
    </row>
    <row r="54" spans="1:37" ht="18.75" thickBot="1" x14ac:dyDescent="0.3">
      <c r="A54" s="1946"/>
      <c r="B54" s="1939" t="s">
        <v>742</v>
      </c>
      <c r="C54" s="1947"/>
      <c r="D54" s="1947"/>
      <c r="E54" s="933"/>
      <c r="F54" s="1717">
        <f>SUM(F52:F53)</f>
        <v>0</v>
      </c>
      <c r="G54" s="1672">
        <f t="shared" ref="G54:L54" si="6">SUM(G52:G53)</f>
        <v>0</v>
      </c>
      <c r="H54" s="1748">
        <f t="shared" si="6"/>
        <v>0</v>
      </c>
      <c r="I54" s="1007">
        <f t="shared" si="6"/>
        <v>0</v>
      </c>
      <c r="J54" s="378">
        <f t="shared" si="6"/>
        <v>0</v>
      </c>
      <c r="K54" s="324">
        <f t="shared" si="6"/>
        <v>0</v>
      </c>
      <c r="L54" s="378">
        <f t="shared" si="6"/>
        <v>0</v>
      </c>
    </row>
    <row r="55" spans="1:37" s="1911" customFormat="1" ht="18.75" thickTop="1" x14ac:dyDescent="0.25">
      <c r="A55" s="1940"/>
      <c r="B55" s="1941"/>
      <c r="C55" s="1942"/>
      <c r="D55" s="1942"/>
      <c r="E55" s="248"/>
      <c r="F55" s="1728"/>
      <c r="G55" s="1780"/>
      <c r="H55" s="1762"/>
      <c r="I55" s="1011"/>
      <c r="J55" s="303"/>
      <c r="K55" s="248"/>
      <c r="L55" s="303"/>
    </row>
    <row r="56" spans="1:37" s="1900" customFormat="1" ht="25.5" customHeight="1" x14ac:dyDescent="0.25">
      <c r="A56" s="1962"/>
      <c r="B56" s="1951" t="s">
        <v>741</v>
      </c>
      <c r="C56" s="1963"/>
      <c r="D56" s="1963"/>
      <c r="E56" s="1018"/>
      <c r="F56" s="1729">
        <f>SUM(F49,F54)</f>
        <v>27396860.27</v>
      </c>
      <c r="G56" s="1781">
        <f t="shared" ref="G56:I56" si="7">SUM(G49,G54)</f>
        <v>29987171</v>
      </c>
      <c r="H56" s="1763">
        <f t="shared" si="7"/>
        <v>24774153.909999996</v>
      </c>
      <c r="I56" s="1019">
        <f t="shared" si="7"/>
        <v>25238286</v>
      </c>
      <c r="J56" s="968"/>
      <c r="K56" s="967"/>
      <c r="L56" s="968"/>
      <c r="N56" s="1919"/>
      <c r="O56" s="1920"/>
      <c r="P56" s="1920"/>
      <c r="Q56" s="1920"/>
      <c r="R56" s="1920"/>
      <c r="S56" s="1899"/>
      <c r="T56" s="1899"/>
      <c r="U56" s="1899"/>
      <c r="V56" s="1899"/>
      <c r="W56" s="1899"/>
      <c r="X56" s="1899"/>
      <c r="Y56" s="1899"/>
      <c r="Z56" s="1899"/>
      <c r="AA56" s="1899"/>
      <c r="AB56" s="1899"/>
      <c r="AC56" s="1899"/>
      <c r="AD56" s="1899"/>
      <c r="AE56" s="1899"/>
      <c r="AF56" s="1899"/>
      <c r="AG56" s="1899"/>
      <c r="AH56" s="1899"/>
      <c r="AI56" s="1899"/>
      <c r="AJ56" s="1899"/>
      <c r="AK56" s="1899"/>
    </row>
    <row r="57" spans="1:37" ht="18" x14ac:dyDescent="0.25">
      <c r="A57" s="1940"/>
      <c r="B57" s="1941"/>
      <c r="C57" s="1942"/>
      <c r="D57" s="1929"/>
      <c r="E57" s="1022"/>
      <c r="F57" s="1022"/>
      <c r="G57" s="1674"/>
      <c r="H57" s="1022"/>
      <c r="I57" s="1130"/>
      <c r="J57" s="293"/>
      <c r="K57" s="237"/>
      <c r="L57" s="293"/>
    </row>
    <row r="58" spans="1:37" s="1911" customFormat="1" ht="36.75" customHeight="1" x14ac:dyDescent="0.25">
      <c r="A58" s="1962"/>
      <c r="B58" s="1951" t="s">
        <v>398</v>
      </c>
      <c r="C58" s="1963"/>
      <c r="D58" s="1963"/>
      <c r="E58" s="1016"/>
      <c r="F58" s="1730">
        <v>5899189.46</v>
      </c>
      <c r="G58" s="1782">
        <f t="shared" ref="G58:L58" si="8">+F60</f>
        <v>5479858.4000000013</v>
      </c>
      <c r="H58" s="1764">
        <f t="shared" si="8"/>
        <v>871688.4000000013</v>
      </c>
      <c r="I58" s="1017">
        <f t="shared" si="8"/>
        <v>486933.49000000488</v>
      </c>
      <c r="J58" s="988">
        <f t="shared" si="8"/>
        <v>286634.49000000488</v>
      </c>
      <c r="K58" s="977" t="e">
        <f t="shared" si="8"/>
        <v>#REF!</v>
      </c>
      <c r="L58" s="988" t="e">
        <f t="shared" si="8"/>
        <v>#REF!</v>
      </c>
    </row>
    <row r="59" spans="1:37" s="1911" customFormat="1" ht="36.75" customHeight="1" x14ac:dyDescent="0.25">
      <c r="A59" s="1964"/>
      <c r="B59" s="1965" t="s">
        <v>380</v>
      </c>
      <c r="C59" s="1966"/>
      <c r="D59" s="1966"/>
      <c r="E59" s="1014"/>
      <c r="F59" s="1731">
        <f>F23-F56</f>
        <v>-419331.05999999866</v>
      </c>
      <c r="G59" s="1783">
        <f>G23-G56</f>
        <v>-4608170</v>
      </c>
      <c r="H59" s="1765">
        <f>H23-H56</f>
        <v>-384754.90999999642</v>
      </c>
      <c r="I59" s="1015">
        <f>I23-I56</f>
        <v>-200299</v>
      </c>
      <c r="J59" s="989" t="e">
        <f>+#REF!+J54</f>
        <v>#REF!</v>
      </c>
      <c r="K59" s="962" t="e">
        <f>+#REF!+K54</f>
        <v>#REF!</v>
      </c>
      <c r="L59" s="989" t="e">
        <f>+#REF!+L54</f>
        <v>#REF!</v>
      </c>
    </row>
    <row r="60" spans="1:37" s="1911" customFormat="1" ht="36.75" customHeight="1" thickBot="1" x14ac:dyDescent="0.3">
      <c r="A60" s="1967"/>
      <c r="B60" s="1968" t="s">
        <v>136</v>
      </c>
      <c r="C60" s="1969"/>
      <c r="D60" s="1969"/>
      <c r="E60" s="985"/>
      <c r="F60" s="1732">
        <f>+F58+F59</f>
        <v>5479858.4000000013</v>
      </c>
      <c r="G60" s="1784">
        <f t="shared" ref="G60:I60" si="9">+G58+G59</f>
        <v>871688.4000000013</v>
      </c>
      <c r="H60" s="1766">
        <f t="shared" si="9"/>
        <v>486933.49000000488</v>
      </c>
      <c r="I60" s="1012">
        <f t="shared" si="9"/>
        <v>286634.49000000488</v>
      </c>
      <c r="J60" s="304" t="e">
        <f>+J58+J59</f>
        <v>#REF!</v>
      </c>
      <c r="K60" s="305" t="e">
        <f>+K58+K59</f>
        <v>#REF!</v>
      </c>
      <c r="L60" s="304" t="e">
        <f>+L58+L59</f>
        <v>#REF!</v>
      </c>
    </row>
    <row r="61" spans="1:37" s="1911" customFormat="1" ht="36.75" hidden="1" customHeight="1" thickTop="1" x14ac:dyDescent="0.25">
      <c r="A61" s="2124"/>
      <c r="B61" s="2125"/>
      <c r="C61" s="2126"/>
      <c r="D61" s="2126"/>
      <c r="E61" s="2127"/>
      <c r="F61" s="2127"/>
      <c r="G61" s="2128"/>
      <c r="H61" s="2127"/>
      <c r="I61" s="2129"/>
      <c r="J61" s="2130"/>
      <c r="K61" s="1087"/>
      <c r="L61" s="2130"/>
    </row>
    <row r="62" spans="1:37" s="1886" customFormat="1" ht="18.75" thickTop="1" x14ac:dyDescent="0.25">
      <c r="A62" s="1940"/>
      <c r="B62" s="1941"/>
      <c r="C62" s="1942"/>
      <c r="D62" s="1929"/>
      <c r="E62" s="1131"/>
      <c r="F62" s="1131"/>
      <c r="G62" s="1785"/>
      <c r="H62" s="1131"/>
      <c r="I62" s="1132"/>
      <c r="J62" s="256"/>
      <c r="K62" s="256"/>
      <c r="L62" s="256"/>
    </row>
    <row r="63" spans="1:37" ht="36.75" customHeight="1" x14ac:dyDescent="0.25">
      <c r="A63" s="1970"/>
      <c r="B63" s="1951" t="s">
        <v>399</v>
      </c>
      <c r="C63" s="1971"/>
      <c r="D63" s="1971"/>
      <c r="E63" s="1013"/>
      <c r="F63" s="1013"/>
      <c r="G63" s="1786"/>
      <c r="H63" s="1013"/>
      <c r="I63" s="1139"/>
      <c r="J63" s="306"/>
      <c r="K63" s="256"/>
      <c r="L63" s="306"/>
    </row>
    <row r="64" spans="1:37" s="1911" customFormat="1" ht="24.75" hidden="1" customHeight="1" x14ac:dyDescent="0.25">
      <c r="A64" s="1972"/>
      <c r="B64" s="1973"/>
      <c r="C64" s="2132" t="s">
        <v>382</v>
      </c>
      <c r="D64" s="1973"/>
      <c r="E64" s="1085"/>
      <c r="F64" s="1733">
        <v>0</v>
      </c>
      <c r="G64" s="1787">
        <v>0</v>
      </c>
      <c r="H64" s="1767">
        <v>0</v>
      </c>
      <c r="I64" s="1086">
        <v>0</v>
      </c>
      <c r="J64" s="989"/>
      <c r="K64" s="1087"/>
      <c r="L64" s="989"/>
    </row>
    <row r="65" spans="1:12" s="1911" customFormat="1" ht="24.75" customHeight="1" x14ac:dyDescent="0.25">
      <c r="A65" s="1972"/>
      <c r="B65" s="1973"/>
      <c r="C65" s="1973" t="s">
        <v>383</v>
      </c>
      <c r="D65" s="1973"/>
      <c r="E65" s="1085"/>
      <c r="F65" s="1733">
        <f>+F60</f>
        <v>5479858.4000000013</v>
      </c>
      <c r="G65" s="1787">
        <f>+G60</f>
        <v>871688.4000000013</v>
      </c>
      <c r="H65" s="1767">
        <f>+H60</f>
        <v>486933.49000000488</v>
      </c>
      <c r="I65" s="1086">
        <f t="shared" ref="I65:L65" si="10">+I60</f>
        <v>286634.49000000488</v>
      </c>
      <c r="J65" s="989" t="e">
        <f t="shared" si="10"/>
        <v>#REF!</v>
      </c>
      <c r="K65" s="1087" t="e">
        <f t="shared" si="10"/>
        <v>#REF!</v>
      </c>
      <c r="L65" s="989" t="e">
        <f t="shared" si="10"/>
        <v>#REF!</v>
      </c>
    </row>
    <row r="66" spans="1:12" s="1911" customFormat="1" ht="24.75" hidden="1" customHeight="1" x14ac:dyDescent="0.25">
      <c r="A66" s="1972"/>
      <c r="B66" s="1973"/>
      <c r="C66" s="2133" t="s">
        <v>384</v>
      </c>
      <c r="D66" s="1973"/>
      <c r="E66" s="1085"/>
      <c r="F66" s="1734">
        <v>0</v>
      </c>
      <c r="G66" s="1788">
        <v>0</v>
      </c>
      <c r="H66" s="1768">
        <v>0</v>
      </c>
      <c r="I66" s="1089">
        <v>0</v>
      </c>
      <c r="J66" s="989"/>
      <c r="K66" s="1087"/>
      <c r="L66" s="989"/>
    </row>
    <row r="67" spans="1:12" s="1911" customFormat="1" ht="24.75" customHeight="1" x14ac:dyDescent="0.25">
      <c r="A67" s="1974"/>
      <c r="B67" s="1975"/>
      <c r="C67" s="1975" t="s">
        <v>385</v>
      </c>
      <c r="D67" s="1975"/>
      <c r="E67" s="1088"/>
      <c r="F67" s="1734">
        <v>0</v>
      </c>
      <c r="G67" s="1788">
        <v>0</v>
      </c>
      <c r="H67" s="1768">
        <v>0</v>
      </c>
      <c r="I67" s="1089">
        <v>0</v>
      </c>
      <c r="J67" s="1090">
        <v>0</v>
      </c>
      <c r="K67" s="1091">
        <v>0</v>
      </c>
      <c r="L67" s="1090">
        <v>0</v>
      </c>
    </row>
    <row r="68" spans="1:12" s="1911" customFormat="1" ht="24.75" hidden="1" customHeight="1" x14ac:dyDescent="0.25">
      <c r="A68" s="2131"/>
      <c r="B68" s="1977"/>
      <c r="C68" s="1977"/>
      <c r="D68" s="1977"/>
      <c r="E68" s="1092"/>
      <c r="F68" s="1735"/>
      <c r="G68" s="1789"/>
      <c r="H68" s="1769"/>
      <c r="I68" s="1093"/>
      <c r="J68" s="1090"/>
      <c r="K68" s="1091"/>
      <c r="L68" s="1090"/>
    </row>
    <row r="69" spans="1:12" s="1911" customFormat="1" ht="24.75" hidden="1" customHeight="1" x14ac:dyDescent="0.25">
      <c r="A69" s="2131"/>
      <c r="B69" s="1977"/>
      <c r="C69" s="1977"/>
      <c r="D69" s="1977"/>
      <c r="E69" s="1092"/>
      <c r="F69" s="1735"/>
      <c r="G69" s="1789"/>
      <c r="H69" s="1769"/>
      <c r="I69" s="1093"/>
      <c r="J69" s="1090"/>
      <c r="K69" s="1091"/>
      <c r="L69" s="1090"/>
    </row>
    <row r="70" spans="1:12" s="1911" customFormat="1" ht="24.75" hidden="1" customHeight="1" x14ac:dyDescent="0.25">
      <c r="A70" s="2131"/>
      <c r="B70" s="1977"/>
      <c r="C70" s="1977"/>
      <c r="D70" s="1977"/>
      <c r="E70" s="1092"/>
      <c r="F70" s="1735"/>
      <c r="G70" s="1789"/>
      <c r="H70" s="1769"/>
      <c r="I70" s="1093"/>
      <c r="J70" s="1090"/>
      <c r="K70" s="1091"/>
      <c r="L70" s="1090"/>
    </row>
    <row r="71" spans="1:12" s="1911" customFormat="1" ht="24.75" hidden="1" customHeight="1" x14ac:dyDescent="0.25">
      <c r="A71" s="2131"/>
      <c r="B71" s="1977"/>
      <c r="C71" s="1977"/>
      <c r="D71" s="1977"/>
      <c r="E71" s="1092"/>
      <c r="F71" s="1735"/>
      <c r="G71" s="1789"/>
      <c r="H71" s="1769"/>
      <c r="I71" s="1093"/>
      <c r="J71" s="1090"/>
      <c r="K71" s="1091"/>
      <c r="L71" s="1090"/>
    </row>
    <row r="72" spans="1:12" s="1911" customFormat="1" ht="24.75" hidden="1" customHeight="1" x14ac:dyDescent="0.25">
      <c r="A72" s="2131"/>
      <c r="B72" s="1977"/>
      <c r="C72" s="1977"/>
      <c r="D72" s="1977"/>
      <c r="E72" s="1092"/>
      <c r="F72" s="1735"/>
      <c r="G72" s="1789"/>
      <c r="H72" s="1769"/>
      <c r="I72" s="1093"/>
      <c r="J72" s="1090"/>
      <c r="K72" s="1091"/>
      <c r="L72" s="1090"/>
    </row>
    <row r="73" spans="1:12" s="1911" customFormat="1" ht="24.75" hidden="1" customHeight="1" x14ac:dyDescent="0.25">
      <c r="A73" s="2131"/>
      <c r="B73" s="1977"/>
      <c r="C73" s="1977"/>
      <c r="D73" s="1977"/>
      <c r="E73" s="1092"/>
      <c r="F73" s="1735"/>
      <c r="G73" s="1789"/>
      <c r="H73" s="1769"/>
      <c r="I73" s="1093"/>
      <c r="J73" s="1090"/>
      <c r="K73" s="1091"/>
      <c r="L73" s="1090"/>
    </row>
    <row r="74" spans="1:12" s="1911" customFormat="1" ht="24.75" customHeight="1" x14ac:dyDescent="0.25">
      <c r="A74" s="1976"/>
      <c r="B74" s="1977"/>
      <c r="C74" s="1977" t="s">
        <v>390</v>
      </c>
      <c r="D74" s="1977"/>
      <c r="E74" s="1092"/>
      <c r="F74" s="1735">
        <f>ROUND(+F60-F65-F67,0)</f>
        <v>0</v>
      </c>
      <c r="G74" s="1789">
        <f>ROUND(+G60-G65-G67,0)</f>
        <v>0</v>
      </c>
      <c r="H74" s="1769">
        <f>ROUND(+H60-H65-H67,0)</f>
        <v>0</v>
      </c>
      <c r="I74" s="1093">
        <f t="shared" ref="I74:L74" si="11">ROUND(+I60-I65-I67,0)</f>
        <v>0</v>
      </c>
      <c r="J74" s="1090" t="e">
        <f t="shared" si="11"/>
        <v>#REF!</v>
      </c>
      <c r="K74" s="1091" t="e">
        <f t="shared" si="11"/>
        <v>#REF!</v>
      </c>
      <c r="L74" s="1090" t="e">
        <f t="shared" si="11"/>
        <v>#REF!</v>
      </c>
    </row>
    <row r="75" spans="1:12" s="1911" customFormat="1" ht="24.75" hidden="1" customHeight="1" x14ac:dyDescent="0.25">
      <c r="A75" s="2131"/>
      <c r="B75" s="1977"/>
      <c r="C75" s="1977"/>
      <c r="D75" s="1977"/>
      <c r="E75" s="1092"/>
      <c r="F75" s="1735"/>
      <c r="G75" s="1789"/>
      <c r="H75" s="1769"/>
      <c r="I75" s="1093"/>
      <c r="J75" s="1090"/>
      <c r="K75" s="1091"/>
      <c r="L75" s="1090"/>
    </row>
    <row r="76" spans="1:12" s="1911" customFormat="1" ht="24.75" hidden="1" customHeight="1" x14ac:dyDescent="0.25">
      <c r="A76" s="2131"/>
      <c r="B76" s="1977"/>
      <c r="C76" s="1977"/>
      <c r="D76" s="1977"/>
      <c r="E76" s="1092"/>
      <c r="F76" s="1735"/>
      <c r="G76" s="1789"/>
      <c r="H76" s="1769"/>
      <c r="I76" s="1093"/>
      <c r="J76" s="1090"/>
      <c r="K76" s="1091"/>
      <c r="L76" s="1090"/>
    </row>
    <row r="77" spans="1:12" s="1911" customFormat="1" ht="24.75" hidden="1" customHeight="1" x14ac:dyDescent="0.25">
      <c r="A77" s="2131"/>
      <c r="B77" s="1977"/>
      <c r="C77" s="1977"/>
      <c r="D77" s="1977"/>
      <c r="E77" s="1092"/>
      <c r="F77" s="1735"/>
      <c r="G77" s="1789"/>
      <c r="H77" s="1769"/>
      <c r="I77" s="1093"/>
      <c r="J77" s="1090"/>
      <c r="K77" s="1091"/>
      <c r="L77" s="1090"/>
    </row>
    <row r="78" spans="1:12" s="1911" customFormat="1" ht="24.75" hidden="1" customHeight="1" x14ac:dyDescent="0.25">
      <c r="A78" s="2131"/>
      <c r="B78" s="1977"/>
      <c r="C78" s="1977"/>
      <c r="D78" s="1977"/>
      <c r="E78" s="1092"/>
      <c r="F78" s="1735"/>
      <c r="G78" s="1789"/>
      <c r="H78" s="1769"/>
      <c r="I78" s="1093"/>
      <c r="J78" s="1090"/>
      <c r="K78" s="1091"/>
      <c r="L78" s="1090"/>
    </row>
    <row r="79" spans="1:12" ht="45" customHeight="1" thickBot="1" x14ac:dyDescent="0.25">
      <c r="A79" s="1967"/>
      <c r="B79" s="1968" t="s">
        <v>400</v>
      </c>
      <c r="C79" s="1969"/>
      <c r="D79" s="1969"/>
      <c r="E79" s="985"/>
      <c r="F79" s="1732">
        <f>+SUM(F65:F74)</f>
        <v>5479858.4000000013</v>
      </c>
      <c r="G79" s="1784">
        <f>+SUM(G65:G74)</f>
        <v>871688.4000000013</v>
      </c>
      <c r="H79" s="1766">
        <f>+SUM(H65:H74)</f>
        <v>486933.49000000488</v>
      </c>
      <c r="I79" s="1012">
        <f t="shared" ref="I79:L79" si="12">+SUM(I65:I74)</f>
        <v>286634.49000000488</v>
      </c>
      <c r="J79" s="304" t="e">
        <f t="shared" si="12"/>
        <v>#REF!</v>
      </c>
      <c r="K79" s="305" t="e">
        <f t="shared" si="12"/>
        <v>#REF!</v>
      </c>
      <c r="L79" s="304" t="e">
        <f t="shared" si="12"/>
        <v>#REF!</v>
      </c>
    </row>
    <row r="80" spans="1:12" s="1886" customFormat="1" ht="19.5" thickTop="1" thickBot="1" x14ac:dyDescent="0.3">
      <c r="A80" s="1942"/>
      <c r="B80" s="1941"/>
      <c r="C80" s="1942"/>
      <c r="D80" s="1942"/>
      <c r="E80" s="225"/>
      <c r="F80" s="403"/>
      <c r="G80" s="1790"/>
      <c r="H80" s="225"/>
      <c r="I80" s="225"/>
      <c r="J80" s="225"/>
      <c r="K80" s="225"/>
      <c r="L80" s="225"/>
    </row>
    <row r="81" spans="1:4" ht="16.5" thickTop="1" x14ac:dyDescent="0.25">
      <c r="A81" s="1978"/>
      <c r="B81" s="1979"/>
      <c r="C81" s="1978"/>
      <c r="D81" s="1978"/>
    </row>
    <row r="82" spans="1:4" ht="15.75" x14ac:dyDescent="0.25">
      <c r="A82" s="1978"/>
      <c r="B82" s="1979"/>
      <c r="C82" s="1978"/>
      <c r="D82" s="1978"/>
    </row>
    <row r="83" spans="1:4" ht="15.75" x14ac:dyDescent="0.25">
      <c r="A83" s="1978"/>
      <c r="B83" s="1979"/>
      <c r="C83" s="1978"/>
      <c r="D83" s="1978"/>
    </row>
    <row r="84" spans="1:4" ht="15.75" x14ac:dyDescent="0.25">
      <c r="A84" s="1978"/>
      <c r="B84" s="1979"/>
      <c r="C84" s="1978"/>
      <c r="D84" s="1978"/>
    </row>
    <row r="85" spans="1:4" ht="15.75" x14ac:dyDescent="0.25">
      <c r="A85" s="1978"/>
      <c r="B85" s="1979"/>
      <c r="C85" s="1978"/>
      <c r="D85" s="1978"/>
    </row>
  </sheetData>
  <sheetProtection password="DBAD" sheet="1" objects="1" scenarios="1"/>
  <printOptions horizontalCentered="1"/>
  <pageMargins left="0.25" right="0.25" top="0.69" bottom="0.17" header="0.21" footer="0.17"/>
  <pageSetup paperSize="5" scale="64" pageOrder="overThenDown" orientation="portrait" r:id="rId1"/>
  <headerFooter alignWithMargins="0">
    <oddHeader>&amp;C&amp;"Cambria,Bold"&amp;14Sylvan Union School District
2017-18 Budget</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26"/>
  <sheetViews>
    <sheetView zoomScaleNormal="100" workbookViewId="0">
      <pane xSplit="3" ySplit="6" topLeftCell="D19"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customWidth="1"/>
    <col min="6" max="6" width="6.7109375" style="39" customWidth="1"/>
    <col min="7" max="7" width="9.42578125" style="1399" bestFit="1" customWidth="1"/>
    <col min="8" max="8" width="13.85546875" style="123" bestFit="1" customWidth="1"/>
    <col min="9" max="9" width="26" style="1254" customWidth="1"/>
    <col min="10" max="10" width="5.7109375" style="59" customWidth="1"/>
    <col min="11" max="11" width="8.7109375" style="1550" bestFit="1"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277</v>
      </c>
      <c r="D1" s="1481"/>
      <c r="E1" s="1241"/>
      <c r="F1" s="98"/>
      <c r="G1" s="75"/>
      <c r="H1" s="1482"/>
      <c r="I1" s="1241"/>
      <c r="K1" s="81"/>
      <c r="L1" s="123"/>
      <c r="M1" s="1241"/>
      <c r="N1" s="51"/>
      <c r="O1" s="81"/>
      <c r="P1" s="123"/>
      <c r="Q1" s="1241"/>
      <c r="R1" s="51"/>
      <c r="T1" s="86">
        <v>0</v>
      </c>
      <c r="U1" s="98"/>
      <c r="X1" s="86">
        <v>0</v>
      </c>
      <c r="Y1" s="98"/>
      <c r="AB1" s="86">
        <v>0</v>
      </c>
      <c r="AC1" s="98"/>
    </row>
    <row r="2" spans="1:29" ht="17.25" x14ac:dyDescent="0.4">
      <c r="B2" s="1319" t="s">
        <v>59</v>
      </c>
      <c r="C2" s="1320">
        <v>6512</v>
      </c>
      <c r="D2" s="1482"/>
      <c r="E2" s="1241"/>
      <c r="F2" s="98"/>
      <c r="G2" s="1544"/>
      <c r="H2" s="1482"/>
      <c r="I2" s="1241"/>
      <c r="K2" s="81"/>
      <c r="L2" s="87"/>
      <c r="M2" s="1241"/>
      <c r="N2" s="51"/>
      <c r="O2" s="81"/>
      <c r="P2" s="87"/>
      <c r="Q2" s="1241"/>
      <c r="R2" s="51"/>
      <c r="T2" s="87">
        <v>0</v>
      </c>
      <c r="U2" s="98"/>
      <c r="X2" s="87">
        <v>0</v>
      </c>
      <c r="Y2" s="98"/>
      <c r="AB2" s="87">
        <v>0</v>
      </c>
      <c r="AC2" s="98"/>
    </row>
    <row r="3" spans="1:29" x14ac:dyDescent="0.25">
      <c r="D3" s="1483"/>
      <c r="E3" s="1253"/>
      <c r="F3" s="1484"/>
      <c r="G3" s="1545"/>
      <c r="H3" s="1483"/>
      <c r="I3" s="1253"/>
      <c r="K3" s="81"/>
      <c r="L3" s="123"/>
      <c r="M3" s="1254"/>
      <c r="N3" s="51"/>
      <c r="O3" s="81"/>
      <c r="P3" s="123"/>
      <c r="Q3" s="1254"/>
      <c r="R3" s="51"/>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D89</f>
        <v>0</v>
      </c>
      <c r="I7" s="1315"/>
      <c r="J7" s="60"/>
      <c r="L7" s="2">
        <f>H89</f>
        <v>0</v>
      </c>
      <c r="M7" s="1315"/>
      <c r="P7" s="2">
        <f>L89</f>
        <v>0</v>
      </c>
      <c r="Q7" s="1315"/>
      <c r="T7" s="2">
        <f>P89</f>
        <v>0</v>
      </c>
      <c r="U7" s="105"/>
      <c r="X7" s="2">
        <f>T89</f>
        <v>-1807</v>
      </c>
      <c r="Y7" s="105"/>
      <c r="AB7" s="2">
        <f>X89</f>
        <v>-22065</v>
      </c>
      <c r="AC7" s="105"/>
    </row>
    <row r="8" spans="1:29" x14ac:dyDescent="0.25">
      <c r="E8" s="1315"/>
      <c r="H8" s="2"/>
      <c r="I8" s="1315"/>
      <c r="L8" s="2"/>
      <c r="M8" s="1315"/>
      <c r="Q8" s="1315"/>
      <c r="U8" s="105"/>
      <c r="Y8" s="105"/>
      <c r="AC8" s="105"/>
    </row>
    <row r="9" spans="1:29" x14ac:dyDescent="0.25">
      <c r="B9" s="1317" t="s">
        <v>52</v>
      </c>
      <c r="C9" s="1243" t="s">
        <v>53</v>
      </c>
      <c r="D9" s="2">
        <v>18000</v>
      </c>
      <c r="E9" s="1315" t="s">
        <v>482</v>
      </c>
      <c r="G9" s="1527">
        <f>IF(D9=0,"0.00%",(H9-D9)/D9)</f>
        <v>0</v>
      </c>
      <c r="H9" s="2">
        <v>18000</v>
      </c>
      <c r="I9" s="1257" t="s">
        <v>174</v>
      </c>
      <c r="J9" s="61"/>
      <c r="K9" s="1527">
        <f>IF(H9=0,"0.00%",(L9-H9)/H9)</f>
        <v>0</v>
      </c>
      <c r="L9" s="2">
        <f>+H9</f>
        <v>18000</v>
      </c>
      <c r="M9" s="1257" t="s">
        <v>174</v>
      </c>
      <c r="O9" s="1527">
        <f t="shared" ref="O9" si="0">IF(L9=0,"0.00%",(P9-L9)/L9)</f>
        <v>0</v>
      </c>
      <c r="P9" s="2">
        <f>+L9</f>
        <v>18000</v>
      </c>
      <c r="Q9" s="1257" t="s">
        <v>174</v>
      </c>
      <c r="S9" s="83"/>
      <c r="T9" s="2">
        <f>ROUND(P9*(+LEFT(U9,5)+1),0)</f>
        <v>18463</v>
      </c>
      <c r="U9" s="36" t="str">
        <f>TEXT('MYP Assumptions'!H44,"0.00%")&amp;" = COLA"</f>
        <v>2.57% = COLA</v>
      </c>
      <c r="W9" s="83">
        <f>IF(T9=0,"0.00%",(X9-T9)/T9)</f>
        <v>-1</v>
      </c>
      <c r="X9" s="3">
        <f>X3</f>
        <v>0</v>
      </c>
      <c r="Y9" s="105"/>
      <c r="AA9" s="83" t="str">
        <f>IF(X9=0,"0.00%",(AB9-X9)/X9)</f>
        <v>0.00%</v>
      </c>
      <c r="AB9" s="3">
        <f>AB3</f>
        <v>0</v>
      </c>
      <c r="AC9" s="105"/>
    </row>
    <row r="10" spans="1:29" x14ac:dyDescent="0.25">
      <c r="C10" s="1243" t="s">
        <v>51</v>
      </c>
      <c r="D10" s="2">
        <v>0</v>
      </c>
      <c r="E10" s="1315"/>
      <c r="G10" s="1527" t="str">
        <f t="shared" ref="G10:G15" si="1">IF(D10=0,"0.00%",(H10-D10)/D10)</f>
        <v>0.00%</v>
      </c>
      <c r="H10" s="2">
        <v>0</v>
      </c>
      <c r="I10" s="1257"/>
      <c r="J10" s="61"/>
      <c r="K10" s="1527" t="str">
        <f t="shared" ref="K10" si="2">IF(H10=0,"0.00%",(L10-H10)/H10)</f>
        <v>0.00%</v>
      </c>
      <c r="L10" s="2">
        <v>0</v>
      </c>
      <c r="M10" s="1257"/>
      <c r="O10" s="1527" t="str">
        <f t="shared" ref="O10" si="3">IF(L10=0,"0.00%",(P10-L10)/L10)</f>
        <v>0.00%</v>
      </c>
      <c r="P10" s="2">
        <v>0</v>
      </c>
      <c r="Q10" s="1257"/>
      <c r="S10" s="83"/>
      <c r="T10" s="2">
        <v>0</v>
      </c>
      <c r="U10" s="36"/>
      <c r="W10" s="83" t="str">
        <f>IF(T10=0,"0.00%",(X10-T10)/T10)</f>
        <v>0.00%</v>
      </c>
      <c r="X10" s="3">
        <f>-T2</f>
        <v>0</v>
      </c>
      <c r="Y10" s="105"/>
      <c r="AA10" s="83" t="str">
        <f>IF(X10=0,"0.00%",(AB10-X10)/X10)</f>
        <v>0.00%</v>
      </c>
      <c r="AB10" s="3">
        <f>-X2</f>
        <v>0</v>
      </c>
      <c r="AC10" s="105"/>
    </row>
    <row r="11" spans="1:29" x14ac:dyDescent="0.25">
      <c r="B11" s="1323" t="s">
        <v>137</v>
      </c>
      <c r="D11" s="8">
        <f>SUM(D9:D10)</f>
        <v>18000</v>
      </c>
      <c r="E11" s="1315"/>
      <c r="G11" s="1527">
        <f t="shared" si="1"/>
        <v>0</v>
      </c>
      <c r="H11" s="8">
        <f>SUM(H9:H10)</f>
        <v>18000</v>
      </c>
      <c r="I11" s="1882">
        <f>+H11-D11</f>
        <v>0</v>
      </c>
      <c r="J11" s="62"/>
      <c r="K11" s="1527">
        <f>IF(H11=0,"0.00%",(L11-H11)/H11)</f>
        <v>0</v>
      </c>
      <c r="L11" s="8">
        <f>SUM(L9:L10)</f>
        <v>18000</v>
      </c>
      <c r="M11" s="1882">
        <f>+L11-H11</f>
        <v>0</v>
      </c>
      <c r="O11" s="1527">
        <f>IF(L11=0,"0.00%",(P11-L11)/L11)</f>
        <v>0</v>
      </c>
      <c r="P11" s="8">
        <f>SUM(P9:P10)</f>
        <v>18000</v>
      </c>
      <c r="Q11" s="1882">
        <f>+P11-L11</f>
        <v>0</v>
      </c>
      <c r="S11" s="83">
        <f>IF(P11=0,"0.00%",(T11-P11)/P11)</f>
        <v>2.5722222222222223E-2</v>
      </c>
      <c r="T11" s="78">
        <f>SUM(T9:T10)</f>
        <v>18463</v>
      </c>
      <c r="U11" s="105"/>
      <c r="W11" s="83">
        <f>IF(T11=0,"0.00%",(X11-T11)/T11)</f>
        <v>-1</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C13" s="1325" t="s">
        <v>64</v>
      </c>
      <c r="D13" s="9">
        <f>ROUND(D11-(D11/(1+E13)),0)</f>
        <v>642</v>
      </c>
      <c r="E13" s="52">
        <v>3.6999999999999998E-2</v>
      </c>
      <c r="G13" s="1527">
        <f t="shared" si="1"/>
        <v>0.19158878504672897</v>
      </c>
      <c r="H13" s="9">
        <f>ROUND(H11-(H11/(1+I13)),0)</f>
        <v>765</v>
      </c>
      <c r="I13" s="1488">
        <v>4.4400000000000002E-2</v>
      </c>
      <c r="J13" s="64"/>
      <c r="K13" s="1527">
        <f>IF(H13=0,"0.00%",(L13-H13)/H13)</f>
        <v>-0.42091503267973857</v>
      </c>
      <c r="L13" s="9">
        <f>ROUND(L11-(L11/(1+M13)),0)-322</f>
        <v>443</v>
      </c>
      <c r="M13" s="1488">
        <v>4.4400000000000002E-2</v>
      </c>
      <c r="O13" s="1527">
        <f>IF(L13=0,"0.00%",(P13-L13)/L13)</f>
        <v>-0.73589164785553052</v>
      </c>
      <c r="P13" s="9">
        <f>ROUND(P11-(P11/(1+Q13)),0)-648</f>
        <v>117</v>
      </c>
      <c r="Q13" s="1488">
        <v>4.4400000000000002E-2</v>
      </c>
      <c r="S13" s="83">
        <f>IF(P13=0,"0.00%",(T13-P13)/P13)</f>
        <v>4.6324786324786329</v>
      </c>
      <c r="T13" s="77">
        <f>ROUND(T11-(T11/(1+E13)),0)</f>
        <v>659</v>
      </c>
      <c r="U13" s="105"/>
      <c r="W13" s="83">
        <f>IF(T13=0,"0.00%",(X13-T13)/T13)</f>
        <v>-1</v>
      </c>
      <c r="X13" s="77">
        <f>ROUND(X11-(X11/(1+E13)),0)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17358</v>
      </c>
      <c r="E15" s="1315"/>
      <c r="G15" s="1527">
        <f t="shared" si="1"/>
        <v>-7.0860698237124094E-3</v>
      </c>
      <c r="H15" s="9">
        <f>H11-H13</f>
        <v>17235</v>
      </c>
      <c r="I15" s="1882">
        <f>+H15-D15</f>
        <v>-123</v>
      </c>
      <c r="J15" s="62"/>
      <c r="K15" s="1527">
        <f>IF(H15=0,"0.00%",(L15-H15)/H15)</f>
        <v>1.8682912677690747E-2</v>
      </c>
      <c r="L15" s="9">
        <f>L11-L13</f>
        <v>17557</v>
      </c>
      <c r="M15" s="1882">
        <f>+L15-H15</f>
        <v>322</v>
      </c>
      <c r="O15" s="1527">
        <f>IF(L15=0,"0.00%",(P15-L15)/L15)</f>
        <v>1.856809249871846E-2</v>
      </c>
      <c r="P15" s="9">
        <f>P11-P13</f>
        <v>17883</v>
      </c>
      <c r="Q15" s="1882">
        <f>+P15-L15</f>
        <v>326</v>
      </c>
      <c r="S15" s="83">
        <f>IF(P15=0,"0.00%",(T15-P15)/P15)</f>
        <v>-4.4176033104065312E-3</v>
      </c>
      <c r="T15" s="19">
        <f>T11-T13</f>
        <v>17804</v>
      </c>
      <c r="U15" s="105"/>
      <c r="W15" s="83">
        <f>IF(T15=0,"0.00%",(X15-T15)/T15)</f>
        <v>-1</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397"/>
      <c r="P19" s="14" t="s">
        <v>48</v>
      </c>
      <c r="Q19" s="1397"/>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4">IF(D21=0,"0.00%",(H21-D21)/D21)</f>
        <v>0.00%</v>
      </c>
      <c r="H21" s="2">
        <f t="shared" ref="H21:H27" si="5">ROUND(D21*(1+$I$19),0)</f>
        <v>0</v>
      </c>
      <c r="I21" s="1240" t="str">
        <f t="shared" ref="I21:I28" si="6">TEXT($I$19,"0.0%")&amp;" = Est. S &amp; C"</f>
        <v>0.0% = Est. S &amp; C</v>
      </c>
      <c r="J21" s="66"/>
      <c r="K21" s="1527" t="str">
        <f t="shared" ref="K21:K27" si="7">IF(H21=0,"0.00%",(L21-H21)/H21)</f>
        <v>0.00%</v>
      </c>
      <c r="L21" s="2">
        <f>ROUND(H21*(1+M19),0)</f>
        <v>0</v>
      </c>
      <c r="M21" s="1257" t="str">
        <f>TEXT(M19,"0.0%")&amp;" = Est. S &amp; C"</f>
        <v>0.0% = Est. S &amp; C</v>
      </c>
      <c r="O21" s="1527" t="str">
        <f t="shared" ref="O21:O27" si="8">IF(L21=0,"0.00%",(P21-L21)/L21)</f>
        <v>0.00%</v>
      </c>
      <c r="P21" s="2">
        <f>ROUND(L21*(1+Q19),0)</f>
        <v>0</v>
      </c>
      <c r="Q21" s="1257" t="str">
        <f>TEXT(Q19,"0.0%")&amp;" = Est. S &amp; C"</f>
        <v>0.0% = Est. S &amp; C</v>
      </c>
      <c r="S21" s="83" t="str">
        <f t="shared" ref="S21:S27" si="9">IF(P21=0,"0.00%",(T21-P21)/P21)</f>
        <v>0.00%</v>
      </c>
      <c r="T21" s="2">
        <f>ROUND(P21*(1+U19),0)</f>
        <v>0</v>
      </c>
      <c r="U21" s="36" t="str">
        <f>TEXT(U19,"0.0%")&amp;" = Est. S &amp; C"</f>
        <v>2.0% = Est. S &amp; C</v>
      </c>
      <c r="W21" s="83" t="str">
        <f t="shared" ref="W21:W27" si="10">IF(T21=0,"0.00%",(X21-T21)/T21)</f>
        <v>0.00%</v>
      </c>
      <c r="X21" s="2">
        <f>ROUND(T21*(1+Y19),0)</f>
        <v>0</v>
      </c>
      <c r="Y21" s="36" t="str">
        <f>TEXT(Y19,"0.0%")&amp;" = Est. S &amp; C"</f>
        <v>2.0% = Est. S &amp; C</v>
      </c>
      <c r="AA21" s="83" t="str">
        <f t="shared" ref="AA21:AA27" si="11">IF(X21=0,"0.00%",(AB21-X21)/X21)</f>
        <v>0.00%</v>
      </c>
      <c r="AB21" s="2">
        <f>ROUND(X21*(1+AC19),0)</f>
        <v>0</v>
      </c>
      <c r="AC21" s="36" t="str">
        <f>TEXT(AC19,"0.0%")&amp;" = Est. S &amp; C"</f>
        <v>2.0% = Est. S &amp; C</v>
      </c>
    </row>
    <row r="22" spans="1:29" hidden="1" x14ac:dyDescent="0.25">
      <c r="A22" s="153"/>
      <c r="B22" s="1326"/>
      <c r="D22" s="2">
        <v>0</v>
      </c>
      <c r="E22" s="1249"/>
      <c r="F22" s="2"/>
      <c r="G22" s="1527" t="str">
        <f t="shared" si="4"/>
        <v>0.00%</v>
      </c>
      <c r="H22" s="2">
        <f t="shared" si="5"/>
        <v>0</v>
      </c>
      <c r="I22" s="1257" t="str">
        <f t="shared" si="6"/>
        <v>0.0% = Est. S &amp; C</v>
      </c>
      <c r="J22" s="66"/>
      <c r="K22" s="1527" t="str">
        <f t="shared" si="7"/>
        <v>0.00%</v>
      </c>
      <c r="L22" s="2">
        <f>ROUND(H22*(1+M19),0)</f>
        <v>0</v>
      </c>
      <c r="M22" s="1257" t="str">
        <f>TEXT(M19,"0.0%")&amp;" = Est. S &amp; C"</f>
        <v>0.0% = Est. S &amp; C</v>
      </c>
      <c r="O22" s="1527" t="str">
        <f t="shared" si="8"/>
        <v>0.00%</v>
      </c>
      <c r="P22" s="2">
        <f>ROUND(L22*(1+Q19),0)</f>
        <v>0</v>
      </c>
      <c r="Q22" s="1257" t="str">
        <f>TEXT(Q19,"0.0%")&amp;" = Est. S &amp; C"</f>
        <v>0.0% = Est. S &amp; C</v>
      </c>
      <c r="S22" s="83" t="str">
        <f t="shared" si="9"/>
        <v>0.00%</v>
      </c>
      <c r="T22" s="2">
        <f>ROUND(P22*(1+U19),0)</f>
        <v>0</v>
      </c>
      <c r="U22" s="36" t="str">
        <f>TEXT(U19,"0.0%")&amp;" = Est. S &amp; C"</f>
        <v>2.0% = Est. S &amp; C</v>
      </c>
      <c r="W22" s="83" t="str">
        <f t="shared" si="10"/>
        <v>0.00%</v>
      </c>
      <c r="X22" s="2">
        <f>ROUND(T22*(1+Y19),0)</f>
        <v>0</v>
      </c>
      <c r="Y22" s="36" t="str">
        <f>TEXT(Y19,"0.0%")&amp;" = Est. S &amp; C"</f>
        <v>2.0% = Est. S &amp; C</v>
      </c>
      <c r="AA22" s="83" t="str">
        <f t="shared" si="11"/>
        <v>0.00%</v>
      </c>
      <c r="AB22" s="2">
        <f>ROUND(X22*(1+AC19),0)</f>
        <v>0</v>
      </c>
      <c r="AC22" s="36" t="str">
        <f>TEXT(AC19,"0.0%")&amp;" = Est. S &amp; C"</f>
        <v>2.0% = Est. S &amp; C</v>
      </c>
    </row>
    <row r="23" spans="1:29" hidden="1" x14ac:dyDescent="0.25">
      <c r="A23" s="153"/>
      <c r="B23" s="1326"/>
      <c r="D23" s="2">
        <v>0</v>
      </c>
      <c r="E23" s="1249"/>
      <c r="F23" s="2"/>
      <c r="G23" s="1527" t="str">
        <f t="shared" si="4"/>
        <v>0.00%</v>
      </c>
      <c r="H23" s="2">
        <f t="shared" si="5"/>
        <v>0</v>
      </c>
      <c r="I23" s="1257" t="str">
        <f t="shared" si="6"/>
        <v>0.0% = Est. S &amp; C</v>
      </c>
      <c r="J23" s="66"/>
      <c r="K23" s="1527" t="str">
        <f t="shared" si="7"/>
        <v>0.00%</v>
      </c>
      <c r="L23" s="2">
        <f>ROUND(H23*(1+M19),0)</f>
        <v>0</v>
      </c>
      <c r="M23" s="1257" t="str">
        <f>TEXT(M19,"0.0%")&amp;" = Est. S &amp; C"</f>
        <v>0.0% = Est. S &amp; C</v>
      </c>
      <c r="O23" s="1527" t="str">
        <f t="shared" si="8"/>
        <v>0.00%</v>
      </c>
      <c r="P23" s="2">
        <f>ROUND(L23*(1+Q19),0)</f>
        <v>0</v>
      </c>
      <c r="Q23" s="1257" t="str">
        <f>TEXT(Q19,"0.0%")&amp;" = Est. S &amp; C"</f>
        <v>0.0% = Est. S &amp; C</v>
      </c>
      <c r="S23" s="83" t="str">
        <f t="shared" si="9"/>
        <v>0.00%</v>
      </c>
      <c r="T23" s="2">
        <f>ROUND(P23*(1+U19),0)</f>
        <v>0</v>
      </c>
      <c r="U23" s="36" t="str">
        <f>TEXT(U19,"0.0%")&amp;" = Est. S &amp; C"</f>
        <v>2.0% = Est. S &amp; C</v>
      </c>
      <c r="W23" s="83" t="str">
        <f t="shared" si="10"/>
        <v>0.00%</v>
      </c>
      <c r="X23" s="2">
        <f>ROUND(T23*(1+Y19),0)</f>
        <v>0</v>
      </c>
      <c r="Y23" s="36" t="str">
        <f>TEXT(Y19,"0.0%")&amp;" = Est. S &amp; C"</f>
        <v>2.0% = Est. S &amp; C</v>
      </c>
      <c r="AA23" s="83" t="str">
        <f t="shared" si="11"/>
        <v>0.00%</v>
      </c>
      <c r="AB23" s="2">
        <f>ROUND(X23*(1+AC19),0)</f>
        <v>0</v>
      </c>
      <c r="AC23" s="36" t="str">
        <f>TEXT(AC19,"0.0%")&amp;" = Est. S &amp; C"</f>
        <v>2.0% = Est. S &amp; C</v>
      </c>
    </row>
    <row r="24" spans="1:29" hidden="1" x14ac:dyDescent="0.25">
      <c r="A24" s="153"/>
      <c r="B24" s="1326"/>
      <c r="D24" s="2">
        <v>0</v>
      </c>
      <c r="E24" s="1249"/>
      <c r="F24" s="2"/>
      <c r="G24" s="1527" t="str">
        <f t="shared" si="4"/>
        <v>0.00%</v>
      </c>
      <c r="H24" s="2">
        <f t="shared" si="5"/>
        <v>0</v>
      </c>
      <c r="I24" s="1257" t="str">
        <f t="shared" si="6"/>
        <v>0.0% = Est. S &amp; C</v>
      </c>
      <c r="J24" s="66"/>
      <c r="K24" s="1527" t="str">
        <f t="shared" si="7"/>
        <v>0.00%</v>
      </c>
      <c r="L24" s="2">
        <f>ROUND(H24*(1+M19),0)</f>
        <v>0</v>
      </c>
      <c r="M24" s="1257" t="str">
        <f>TEXT(M19,"0.0%")&amp;" = Est. S &amp; C"</f>
        <v>0.0% = Est. S &amp; C</v>
      </c>
      <c r="O24" s="1527" t="str">
        <f t="shared" si="8"/>
        <v>0.00%</v>
      </c>
      <c r="P24" s="2">
        <f>ROUND(L24*(1+Q19),0)</f>
        <v>0</v>
      </c>
      <c r="Q24" s="1257" t="str">
        <f>TEXT(Q19,"0.0%")&amp;" = Est. S &amp; C"</f>
        <v>0.0% = Est. S &amp; C</v>
      </c>
      <c r="S24" s="83" t="str">
        <f t="shared" si="9"/>
        <v>0.00%</v>
      </c>
      <c r="T24" s="2">
        <f>ROUND(P24*(1+U19),0)</f>
        <v>0</v>
      </c>
      <c r="U24" s="36" t="str">
        <f>TEXT(U19,"0.0%")&amp;" = Est. S &amp; C"</f>
        <v>2.0% = Est. S &amp; C</v>
      </c>
      <c r="W24" s="83" t="str">
        <f t="shared" si="10"/>
        <v>0.00%</v>
      </c>
      <c r="X24" s="2">
        <f>ROUND(T24*(1+Y19),0)</f>
        <v>0</v>
      </c>
      <c r="Y24" s="36" t="str">
        <f>TEXT(Y19,"0.0%")&amp;" = Est. S &amp; C"</f>
        <v>2.0% = Est. S &amp; C</v>
      </c>
      <c r="AA24" s="83" t="str">
        <f t="shared" si="11"/>
        <v>0.00%</v>
      </c>
      <c r="AB24" s="2">
        <f>ROUND(X24*(1+AC19),0)</f>
        <v>0</v>
      </c>
      <c r="AC24" s="36" t="str">
        <f>TEXT(AC19,"0.0%")&amp;" = Est. S &amp; C"</f>
        <v>2.0% = Est. S &amp; C</v>
      </c>
    </row>
    <row r="25" spans="1:29" hidden="1" x14ac:dyDescent="0.25">
      <c r="A25" s="153"/>
      <c r="B25" s="1326"/>
      <c r="D25" s="2">
        <v>0</v>
      </c>
      <c r="E25" s="1249"/>
      <c r="F25" s="2"/>
      <c r="G25" s="1527" t="str">
        <f t="shared" si="4"/>
        <v>0.00%</v>
      </c>
      <c r="H25" s="2">
        <f t="shared" si="5"/>
        <v>0</v>
      </c>
      <c r="I25" s="1257" t="str">
        <f t="shared" si="6"/>
        <v>0.0% = Est. S &amp; C</v>
      </c>
      <c r="J25" s="66"/>
      <c r="K25" s="1527" t="str">
        <f t="shared" si="7"/>
        <v>0.00%</v>
      </c>
      <c r="L25" s="2">
        <f>ROUND(H25*(1+M19),0)</f>
        <v>0</v>
      </c>
      <c r="M25" s="1257" t="str">
        <f>TEXT(M19,"0.0%")&amp;" = Est. S &amp; C"</f>
        <v>0.0% = Est. S &amp; C</v>
      </c>
      <c r="O25" s="1527" t="str">
        <f t="shared" si="8"/>
        <v>0.00%</v>
      </c>
      <c r="P25" s="2">
        <f>ROUND(L25*(1+Q19),0)</f>
        <v>0</v>
      </c>
      <c r="Q25" s="1257" t="str">
        <f>TEXT(Q19,"0.0%")&amp;" = Est. S &amp; C"</f>
        <v>0.0% = Est. S &amp; C</v>
      </c>
      <c r="S25" s="83" t="str">
        <f t="shared" si="9"/>
        <v>0.00%</v>
      </c>
      <c r="T25" s="2">
        <f>ROUND(P25*(1+U19),0)</f>
        <v>0</v>
      </c>
      <c r="U25" s="36" t="str">
        <f>TEXT(U19,"0.0%")&amp;" = Est. S &amp; C"</f>
        <v>2.0% = Est. S &amp; C</v>
      </c>
      <c r="W25" s="83" t="str">
        <f t="shared" si="10"/>
        <v>0.00%</v>
      </c>
      <c r="X25" s="2">
        <f>ROUND(T25*(1+Y19),0)</f>
        <v>0</v>
      </c>
      <c r="Y25" s="36" t="str">
        <f>TEXT(Y19,"0.0%")&amp;" = Est. S &amp; C"</f>
        <v>2.0% = Est. S &amp; C</v>
      </c>
      <c r="AA25" s="83" t="str">
        <f t="shared" si="11"/>
        <v>0.00%</v>
      </c>
      <c r="AB25" s="2">
        <f>ROUND(X25*(1+AC19),0)</f>
        <v>0</v>
      </c>
      <c r="AC25" s="36" t="str">
        <f>TEXT(AC19,"0.0%")&amp;" = Est. S &amp; C"</f>
        <v>2.0% = Est. S &amp; C</v>
      </c>
    </row>
    <row r="26" spans="1:29" hidden="1" x14ac:dyDescent="0.25">
      <c r="A26" s="153"/>
      <c r="B26" s="1326"/>
      <c r="D26" s="2">
        <v>0</v>
      </c>
      <c r="E26" s="1249"/>
      <c r="F26" s="2"/>
      <c r="G26" s="1527" t="str">
        <f t="shared" si="4"/>
        <v>0.00%</v>
      </c>
      <c r="H26" s="2">
        <f t="shared" si="5"/>
        <v>0</v>
      </c>
      <c r="I26" s="1257" t="str">
        <f t="shared" si="6"/>
        <v>0.0% = Est. S &amp; C</v>
      </c>
      <c r="J26" s="66"/>
      <c r="K26" s="1527" t="str">
        <f t="shared" si="7"/>
        <v>0.00%</v>
      </c>
      <c r="L26" s="2">
        <f>ROUND(H26*(1+M19),0)</f>
        <v>0</v>
      </c>
      <c r="M26" s="1257" t="str">
        <f>TEXT(M19,"0.0%")&amp;" = Est. S &amp; C"</f>
        <v>0.0% = Est. S &amp; C</v>
      </c>
      <c r="O26" s="1527" t="str">
        <f t="shared" si="8"/>
        <v>0.00%</v>
      </c>
      <c r="P26" s="2">
        <f>ROUND(L26*(1+Q19),0)</f>
        <v>0</v>
      </c>
      <c r="Q26" s="1257" t="str">
        <f>TEXT(Q19,"0.0%")&amp;" = Est. S &amp; C"</f>
        <v>0.0% = Est. S &amp; C</v>
      </c>
      <c r="S26" s="83" t="str">
        <f t="shared" si="9"/>
        <v>0.00%</v>
      </c>
      <c r="T26" s="2">
        <f>ROUND(P26*(1+U19),0)</f>
        <v>0</v>
      </c>
      <c r="U26" s="36" t="str">
        <f>TEXT(U19,"0.0%")&amp;" = Est. S &amp; C"</f>
        <v>2.0% = Est. S &amp; C</v>
      </c>
      <c r="W26" s="83" t="str">
        <f t="shared" si="10"/>
        <v>0.00%</v>
      </c>
      <c r="X26" s="2">
        <f>ROUND(T26*(1+Y19),0)</f>
        <v>0</v>
      </c>
      <c r="Y26" s="36" t="str">
        <f>TEXT(Y19,"0.0%")&amp;" = Est. S &amp; C"</f>
        <v>2.0% = Est. S &amp; C</v>
      </c>
      <c r="AA26" s="83" t="str">
        <f t="shared" si="11"/>
        <v>0.00%</v>
      </c>
      <c r="AB26" s="2">
        <f>ROUND(X26*(1+AC19),0)</f>
        <v>0</v>
      </c>
      <c r="AC26" s="36" t="str">
        <f>TEXT(AC19,"0.0%")&amp;" = Est. S &amp; C"</f>
        <v>2.0% = Est. S &amp; C</v>
      </c>
    </row>
    <row r="27" spans="1:29" hidden="1" x14ac:dyDescent="0.25">
      <c r="A27" s="153"/>
      <c r="B27" s="1326"/>
      <c r="D27" s="2">
        <v>0</v>
      </c>
      <c r="E27" s="1249"/>
      <c r="F27" s="2"/>
      <c r="G27" s="1527" t="str">
        <f t="shared" si="4"/>
        <v>0.00%</v>
      </c>
      <c r="H27" s="2">
        <f t="shared" si="5"/>
        <v>0</v>
      </c>
      <c r="I27" s="1257" t="str">
        <f t="shared" si="6"/>
        <v>0.0% = Est. S &amp; C</v>
      </c>
      <c r="J27" s="66"/>
      <c r="K27" s="1527" t="str">
        <f t="shared" si="7"/>
        <v>0.00%</v>
      </c>
      <c r="L27" s="2">
        <f>ROUND(H27*(1+M19),0)</f>
        <v>0</v>
      </c>
      <c r="M27" s="1257" t="str">
        <f>TEXT(M19,"0.0%")&amp;" = Est. S &amp; C"</f>
        <v>0.0% = Est. S &amp; C</v>
      </c>
      <c r="O27" s="1527" t="str">
        <f t="shared" si="8"/>
        <v>0.00%</v>
      </c>
      <c r="P27" s="2">
        <f>ROUND(L27*(1+Q19),0)</f>
        <v>0</v>
      </c>
      <c r="Q27" s="1257" t="str">
        <f>TEXT(Q19,"0.0%")&amp;" = Est. S &amp; C"</f>
        <v>0.0% = Est. S &amp; C</v>
      </c>
      <c r="S27" s="83" t="str">
        <f t="shared" si="9"/>
        <v>0.00%</v>
      </c>
      <c r="T27" s="2">
        <f>ROUND(P27*(1+U19),0)</f>
        <v>0</v>
      </c>
      <c r="U27" s="36" t="str">
        <f>TEXT(U19,"0.0%")&amp;" = Est. S &amp; C"</f>
        <v>2.0% = Est. S &amp; C</v>
      </c>
      <c r="W27" s="83" t="str">
        <f t="shared" si="10"/>
        <v>0.00%</v>
      </c>
      <c r="X27" s="2">
        <f>ROUND(T27*(1+Y19),0)</f>
        <v>0</v>
      </c>
      <c r="Y27" s="36" t="str">
        <f>TEXT(Y19,"0.0%")&amp;" = Est. S &amp; C"</f>
        <v>2.0% = Est. S &amp; C</v>
      </c>
      <c r="AA27" s="83" t="str">
        <f t="shared" si="11"/>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6"/>
        <v>0.0%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4"/>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x14ac:dyDescent="0.25">
      <c r="A33" s="153"/>
      <c r="B33" s="1326">
        <v>2208</v>
      </c>
      <c r="C33" s="1243" t="s">
        <v>278</v>
      </c>
      <c r="D33" s="2">
        <v>14344</v>
      </c>
      <c r="E33" s="1249"/>
      <c r="F33" s="2"/>
      <c r="G33" s="1527">
        <f t="shared" ref="G33:G39" si="12">IF(D33=0,"0.00%",(H33-D33)/D33)</f>
        <v>-2.7119353039598438E-2</v>
      </c>
      <c r="H33" s="2">
        <v>13955</v>
      </c>
      <c r="I33" s="1257" t="s">
        <v>174</v>
      </c>
      <c r="J33" s="66"/>
      <c r="K33" s="1527">
        <f t="shared" ref="K33:K39" si="13">IF(H33=0,"0.00%",(L33-H33)/H33)</f>
        <v>0</v>
      </c>
      <c r="L33" s="2">
        <f>+H33</f>
        <v>13955</v>
      </c>
      <c r="M33" s="1257" t="s">
        <v>174</v>
      </c>
      <c r="O33" s="1527">
        <f t="shared" ref="O33:O39" si="14">IF(L33=0,"0.00%",(P33-L33)/L33)</f>
        <v>0</v>
      </c>
      <c r="P33" s="2">
        <f>+L33</f>
        <v>13955</v>
      </c>
      <c r="Q33" s="1257" t="s">
        <v>174</v>
      </c>
      <c r="S33" s="83">
        <f t="shared" ref="S33:S39" si="15">IF(P33=0,"0.00%",(T33-P33)/P33)</f>
        <v>0</v>
      </c>
      <c r="T33" s="2">
        <f>+P33</f>
        <v>13955</v>
      </c>
      <c r="U33" s="36" t="s">
        <v>174</v>
      </c>
      <c r="W33" s="83">
        <f t="shared" ref="W33:W39" si="16">IF(T33=0,"0.00%",(X33-T33)/T33)</f>
        <v>1.9992834109638122E-2</v>
      </c>
      <c r="X33" s="2">
        <f>ROUND(T33*(1+Y19),0)</f>
        <v>14234</v>
      </c>
      <c r="Y33" s="36" t="str">
        <f>TEXT(Y19,"0.0%")&amp;" = Est. S &amp; C"</f>
        <v>2.0% = Est. S &amp; C</v>
      </c>
      <c r="AA33" s="83">
        <f t="shared" ref="AA33:AA39" si="17">IF(X33=0,"0.00%",(AB33-X33)/X33)</f>
        <v>2.0022481382605029E-2</v>
      </c>
      <c r="AB33" s="2">
        <f>ROUND(X33*(1+AC19),0)</f>
        <v>14519</v>
      </c>
      <c r="AC33" s="36" t="str">
        <f>TEXT(AC19,"0.0%")&amp;" = Est. S &amp; C"</f>
        <v>2.0% = Est. S &amp; C</v>
      </c>
    </row>
    <row r="34" spans="1:29" hidden="1" x14ac:dyDescent="0.25">
      <c r="A34" s="153"/>
      <c r="B34" s="1326"/>
      <c r="D34" s="2">
        <v>0</v>
      </c>
      <c r="E34" s="1249"/>
      <c r="F34" s="2"/>
      <c r="G34" s="1527" t="str">
        <f t="shared" si="12"/>
        <v>0.00%</v>
      </c>
      <c r="H34" s="2">
        <f t="shared" ref="H34:H39" si="18">ROUND(D34*(1+$I$19),0)</f>
        <v>0</v>
      </c>
      <c r="I34" s="1257" t="str">
        <f t="shared" ref="I34:I39" si="19">TEXT($I$19,"0.0%")&amp;" = Est. S &amp; C"</f>
        <v>0.0% = Est. S &amp; C</v>
      </c>
      <c r="J34" s="66"/>
      <c r="K34" s="1527" t="str">
        <f t="shared" si="13"/>
        <v>0.00%</v>
      </c>
      <c r="L34" s="2">
        <f>ROUND(H34*(1+M19),0)</f>
        <v>0</v>
      </c>
      <c r="M34" s="1257" t="str">
        <f>TEXT(M19,"0.0%")&amp;" = Est. S &amp; C"</f>
        <v>0.0% = Est. S &amp; C</v>
      </c>
      <c r="O34" s="1527" t="str">
        <f t="shared" si="14"/>
        <v>0.00%</v>
      </c>
      <c r="P34" s="2">
        <f>ROUND(L34*(1+Q19),0)</f>
        <v>0</v>
      </c>
      <c r="Q34" s="1257" t="str">
        <f>TEXT(Q19,"0.0%")&amp;" = Est. S &amp; C"</f>
        <v>0.0% = Est. S &amp; C</v>
      </c>
      <c r="S34" s="83" t="str">
        <f t="shared" si="15"/>
        <v>0.00%</v>
      </c>
      <c r="T34" s="2">
        <f>ROUND(P34*(1+U19),0)</f>
        <v>0</v>
      </c>
      <c r="U34" s="36" t="str">
        <f>TEXT(U19,"0.0%")&amp;" = Est. S &amp; C"</f>
        <v>2.0% = Est. S &amp; C</v>
      </c>
      <c r="W34" s="83" t="str">
        <f t="shared" si="16"/>
        <v>0.00%</v>
      </c>
      <c r="X34" s="2">
        <f>ROUND(T34*(1+Y19),0)</f>
        <v>0</v>
      </c>
      <c r="Y34" s="36" t="str">
        <f>TEXT(Y19,"0.0%")&amp;" = Est. S &amp; C"</f>
        <v>2.0% = Est. S &amp; C</v>
      </c>
      <c r="AA34" s="83" t="str">
        <f t="shared" si="17"/>
        <v>0.00%</v>
      </c>
      <c r="AB34" s="2">
        <f>ROUND(X34*(1+AC19),0)</f>
        <v>0</v>
      </c>
      <c r="AC34" s="36" t="str">
        <f>TEXT(AC19,"0.0%")&amp;" = Est. S &amp; C"</f>
        <v>2.0% = Est. S &amp; C</v>
      </c>
    </row>
    <row r="35" spans="1:29" hidden="1" x14ac:dyDescent="0.25">
      <c r="A35" s="153"/>
      <c r="B35" s="1326"/>
      <c r="D35" s="2">
        <v>0</v>
      </c>
      <c r="E35" s="1249"/>
      <c r="F35" s="2"/>
      <c r="G35" s="1527" t="str">
        <f t="shared" si="12"/>
        <v>0.00%</v>
      </c>
      <c r="H35" s="2">
        <f t="shared" si="18"/>
        <v>0</v>
      </c>
      <c r="I35" s="1257" t="str">
        <f t="shared" si="19"/>
        <v>0.0% = Est. S &amp; C</v>
      </c>
      <c r="J35" s="66"/>
      <c r="K35" s="1527" t="str">
        <f t="shared" si="13"/>
        <v>0.00%</v>
      </c>
      <c r="L35" s="2">
        <f>ROUND(H35*(1+M19),0)</f>
        <v>0</v>
      </c>
      <c r="M35" s="1257" t="str">
        <f>TEXT(M19,"0.0%")&amp;" = Est. S &amp; C"</f>
        <v>0.0% = Est. S &amp; C</v>
      </c>
      <c r="O35" s="1527" t="str">
        <f t="shared" si="14"/>
        <v>0.00%</v>
      </c>
      <c r="P35" s="2">
        <f>ROUND(L35*(1+Q19),0)</f>
        <v>0</v>
      </c>
      <c r="Q35" s="1257" t="str">
        <f>TEXT(Q19,"0.0%")&amp;" = Est. S &amp; C"</f>
        <v>0.0% = Est. S &amp; C</v>
      </c>
      <c r="S35" s="83" t="str">
        <f t="shared" si="15"/>
        <v>0.00%</v>
      </c>
      <c r="T35" s="2">
        <f>ROUND(P35*(1+U19),0)</f>
        <v>0</v>
      </c>
      <c r="U35" s="36" t="str">
        <f>TEXT(U19,"0.0%")&amp;" = Est. S &amp; C"</f>
        <v>2.0% = Est. S &amp; C</v>
      </c>
      <c r="W35" s="83" t="str">
        <f t="shared" si="16"/>
        <v>0.00%</v>
      </c>
      <c r="X35" s="2">
        <f>ROUND(T35*(1+Y19),0)</f>
        <v>0</v>
      </c>
      <c r="Y35" s="36" t="str">
        <f>TEXT(Y19,"0.0%")&amp;" = Est. S &amp; C"</f>
        <v>2.0% = Est. S &amp; C</v>
      </c>
      <c r="AA35" s="83" t="str">
        <f t="shared" si="17"/>
        <v>0.00%</v>
      </c>
      <c r="AB35" s="2">
        <f>ROUND(X35*(1+AC19),0)</f>
        <v>0</v>
      </c>
      <c r="AC35" s="36" t="str">
        <f>TEXT(AC19,"0.0%")&amp;" = Est. S &amp; C"</f>
        <v>2.0% = Est. S &amp; C</v>
      </c>
    </row>
    <row r="36" spans="1:29" hidden="1" x14ac:dyDescent="0.25">
      <c r="A36" s="153"/>
      <c r="B36" s="1326"/>
      <c r="D36" s="2">
        <v>0</v>
      </c>
      <c r="E36" s="1249"/>
      <c r="F36" s="2"/>
      <c r="G36" s="1527" t="str">
        <f t="shared" si="12"/>
        <v>0.00%</v>
      </c>
      <c r="H36" s="2">
        <f t="shared" si="18"/>
        <v>0</v>
      </c>
      <c r="I36" s="1257" t="str">
        <f t="shared" si="19"/>
        <v>0.0% = Est. S &amp; C</v>
      </c>
      <c r="J36" s="66"/>
      <c r="K36" s="1527" t="str">
        <f t="shared" si="13"/>
        <v>0.00%</v>
      </c>
      <c r="L36" s="2">
        <f>ROUND(H36*(1+M19),0)</f>
        <v>0</v>
      </c>
      <c r="M36" s="1257" t="str">
        <f>TEXT(M19,"0.0%")&amp;" = Est. S &amp; C"</f>
        <v>0.0% = Est. S &amp; C</v>
      </c>
      <c r="O36" s="1527" t="str">
        <f t="shared" si="14"/>
        <v>0.00%</v>
      </c>
      <c r="P36" s="2">
        <f>ROUND(L36*(1+Q19),0)</f>
        <v>0</v>
      </c>
      <c r="Q36" s="1257" t="str">
        <f>TEXT(Q19,"0.0%")&amp;" = Est. S &amp; C"</f>
        <v>0.0% = Est. S &amp; C</v>
      </c>
      <c r="S36" s="83" t="str">
        <f t="shared" si="15"/>
        <v>0.00%</v>
      </c>
      <c r="T36" s="2">
        <f>ROUND(P36*(1+U19),0)</f>
        <v>0</v>
      </c>
      <c r="U36" s="36" t="str">
        <f>TEXT(U19,"0.0%")&amp;" = Est. S &amp; C"</f>
        <v>2.0% = Est. S &amp; C</v>
      </c>
      <c r="W36" s="83" t="str">
        <f t="shared" si="16"/>
        <v>0.00%</v>
      </c>
      <c r="X36" s="2">
        <f>ROUND(T36*(1+Y19),0)</f>
        <v>0</v>
      </c>
      <c r="Y36" s="36" t="str">
        <f>TEXT(Y19,"0.0%")&amp;" = Est. S &amp; C"</f>
        <v>2.0% = Est. S &amp; C</v>
      </c>
      <c r="AA36" s="83" t="str">
        <f t="shared" si="17"/>
        <v>0.00%</v>
      </c>
      <c r="AB36" s="2">
        <f>ROUND(X36*(1+AC19),0)</f>
        <v>0</v>
      </c>
      <c r="AC36" s="36" t="str">
        <f>TEXT(AC19,"0.0%")&amp;" = Est. S &amp; C"</f>
        <v>2.0% = Est. S &amp; C</v>
      </c>
    </row>
    <row r="37" spans="1:29" hidden="1" x14ac:dyDescent="0.25">
      <c r="A37" s="153"/>
      <c r="B37" s="1326"/>
      <c r="D37" s="2">
        <v>0</v>
      </c>
      <c r="E37" s="1249"/>
      <c r="F37" s="2"/>
      <c r="G37" s="1527" t="str">
        <f t="shared" si="12"/>
        <v>0.00%</v>
      </c>
      <c r="H37" s="2">
        <f t="shared" si="18"/>
        <v>0</v>
      </c>
      <c r="I37" s="1257" t="str">
        <f t="shared" si="19"/>
        <v>0.0% = Est. S &amp; C</v>
      </c>
      <c r="J37" s="66"/>
      <c r="K37" s="1527" t="str">
        <f t="shared" si="13"/>
        <v>0.00%</v>
      </c>
      <c r="L37" s="2">
        <f>ROUND(H37*(1+M19),0)</f>
        <v>0</v>
      </c>
      <c r="M37" s="1257" t="str">
        <f>TEXT(M19,"0.0%")&amp;" = Est. S &amp; C"</f>
        <v>0.0% = Est. S &amp; C</v>
      </c>
      <c r="O37" s="1527" t="str">
        <f t="shared" si="14"/>
        <v>0.00%</v>
      </c>
      <c r="P37" s="2">
        <f>ROUND(L37*(1+Q19),0)</f>
        <v>0</v>
      </c>
      <c r="Q37" s="1257" t="str">
        <f>TEXT(Q19,"0.0%")&amp;" = Est. S &amp; C"</f>
        <v>0.0% = Est. S &amp; C</v>
      </c>
      <c r="S37" s="83" t="str">
        <f t="shared" si="15"/>
        <v>0.00%</v>
      </c>
      <c r="T37" s="2">
        <f>ROUND(P37*(1+U19),0)</f>
        <v>0</v>
      </c>
      <c r="U37" s="36" t="str">
        <f>TEXT(U19,"0.0%")&amp;" = Est. S &amp; C"</f>
        <v>2.0% = Est. S &amp; C</v>
      </c>
      <c r="W37" s="83" t="str">
        <f t="shared" si="16"/>
        <v>0.00%</v>
      </c>
      <c r="X37" s="2">
        <f>ROUND(T37*(1+Y19),0)</f>
        <v>0</v>
      </c>
      <c r="Y37" s="36" t="str">
        <f>TEXT(Y19,"0.0%")&amp;" = Est. S &amp; C"</f>
        <v>2.0% = Est. S &amp; C</v>
      </c>
      <c r="AA37" s="83" t="str">
        <f t="shared" si="17"/>
        <v>0.00%</v>
      </c>
      <c r="AB37" s="2">
        <f>ROUND(X37*(1+AC19),0)</f>
        <v>0</v>
      </c>
      <c r="AC37" s="36" t="str">
        <f>TEXT(AC19,"0.0%")&amp;" = Est. S &amp; C"</f>
        <v>2.0% = Est. S &amp; C</v>
      </c>
    </row>
    <row r="38" spans="1:29" hidden="1" x14ac:dyDescent="0.25">
      <c r="A38" s="153"/>
      <c r="B38" s="1326"/>
      <c r="D38" s="2">
        <v>0</v>
      </c>
      <c r="E38" s="1249"/>
      <c r="F38" s="2"/>
      <c r="G38" s="1527" t="str">
        <f t="shared" si="12"/>
        <v>0.00%</v>
      </c>
      <c r="H38" s="2">
        <f t="shared" si="18"/>
        <v>0</v>
      </c>
      <c r="I38" s="1257" t="str">
        <f t="shared" si="19"/>
        <v>0.0% = Est. S &amp; C</v>
      </c>
      <c r="J38" s="66"/>
      <c r="K38" s="1527" t="str">
        <f t="shared" si="13"/>
        <v>0.00%</v>
      </c>
      <c r="L38" s="2">
        <f>ROUND(H38*(1+M19),0)</f>
        <v>0</v>
      </c>
      <c r="M38" s="1257" t="str">
        <f>TEXT(M19,"0.0%")&amp;" = Est. S &amp; C"</f>
        <v>0.0% = Est. S &amp; C</v>
      </c>
      <c r="O38" s="1527" t="str">
        <f t="shared" si="14"/>
        <v>0.00%</v>
      </c>
      <c r="P38" s="2">
        <f>ROUND(L38*(1+Q19),0)</f>
        <v>0</v>
      </c>
      <c r="Q38" s="1257" t="str">
        <f>TEXT(Q19,"0.0%")&amp;" = Est. S &amp; C"</f>
        <v>0.0% = Est. S &amp; C</v>
      </c>
      <c r="S38" s="83" t="str">
        <f t="shared" si="15"/>
        <v>0.00%</v>
      </c>
      <c r="T38" s="2">
        <f>ROUND(P38*(1+U19),0)</f>
        <v>0</v>
      </c>
      <c r="U38" s="36" t="str">
        <f>TEXT(U19,"0.0%")&amp;" = Est. S &amp; C"</f>
        <v>2.0% = Est. S &amp; C</v>
      </c>
      <c r="W38" s="83" t="str">
        <f t="shared" si="16"/>
        <v>0.00%</v>
      </c>
      <c r="X38" s="2">
        <f>ROUND(T38*(1+Y19),0)</f>
        <v>0</v>
      </c>
      <c r="Y38" s="36" t="str">
        <f>TEXT(Y19,"0.0%")&amp;" = Est. S &amp; C"</f>
        <v>2.0% = Est. S &amp; C</v>
      </c>
      <c r="AA38" s="83" t="str">
        <f t="shared" si="17"/>
        <v>0.00%</v>
      </c>
      <c r="AB38" s="2">
        <f>ROUND(X38*(1+AC19),0)</f>
        <v>0</v>
      </c>
      <c r="AC38" s="36" t="str">
        <f>TEXT(AC19,"0.0%")&amp;" = Est. S &amp; C"</f>
        <v>2.0% = Est. S &amp; C</v>
      </c>
    </row>
    <row r="39" spans="1:29" hidden="1" x14ac:dyDescent="0.25">
      <c r="A39" s="153"/>
      <c r="B39" s="1326"/>
      <c r="D39" s="2">
        <v>0</v>
      </c>
      <c r="E39" s="1249"/>
      <c r="F39" s="2"/>
      <c r="G39" s="1527" t="str">
        <f t="shared" si="12"/>
        <v>0.00%</v>
      </c>
      <c r="H39" s="2">
        <f t="shared" si="18"/>
        <v>0</v>
      </c>
      <c r="I39" s="1257" t="str">
        <f t="shared" si="19"/>
        <v>0.0% = Est. S &amp; C</v>
      </c>
      <c r="J39" s="66"/>
      <c r="K39" s="1527" t="str">
        <f t="shared" si="13"/>
        <v>0.00%</v>
      </c>
      <c r="L39" s="2">
        <f>ROUND(H39*(1+M19),0)</f>
        <v>0</v>
      </c>
      <c r="M39" s="1257" t="str">
        <f>TEXT(M19,"0.0%")&amp;" = Est. S &amp; C"</f>
        <v>0.0% = Est. S &amp; C</v>
      </c>
      <c r="O39" s="1527" t="str">
        <f t="shared" si="14"/>
        <v>0.00%</v>
      </c>
      <c r="P39" s="2">
        <f>ROUND(L39*(1+Q19),0)</f>
        <v>0</v>
      </c>
      <c r="Q39" s="1257" t="str">
        <f>TEXT(Q19,"0.0%")&amp;" = Est. S &amp; C"</f>
        <v>0.0% = Est. S &amp; C</v>
      </c>
      <c r="S39" s="83" t="str">
        <f t="shared" si="15"/>
        <v>0.00%</v>
      </c>
      <c r="T39" s="2">
        <f>ROUND(P39*(1+U19),0)</f>
        <v>0</v>
      </c>
      <c r="U39" s="36" t="str">
        <f>TEXT(U19,"0.0%")&amp;" = Est. S &amp; C"</f>
        <v>2.0% = Est. S &amp; C</v>
      </c>
      <c r="W39" s="83" t="str">
        <f t="shared" si="16"/>
        <v>0.00%</v>
      </c>
      <c r="X39" s="2">
        <f>ROUND(T39*(1+Y19),0)</f>
        <v>0</v>
      </c>
      <c r="Y39" s="36" t="str">
        <f>TEXT(Y19,"0.0%")&amp;" = Est. S &amp; C"</f>
        <v>2.0% = Est. S &amp; C</v>
      </c>
      <c r="AA39" s="83" t="str">
        <f t="shared" si="17"/>
        <v>0.00%</v>
      </c>
      <c r="AB39" s="2">
        <f>ROUND(X39*(1+AC19),0)</f>
        <v>0</v>
      </c>
      <c r="AC39" s="36" t="str">
        <f>TEXT(AC19,"0.0%")&amp;" = Est. S &amp; C"</f>
        <v>2.0% = Est. S &amp; C</v>
      </c>
    </row>
    <row r="40" spans="1:29" ht="6" customHeight="1" x14ac:dyDescent="0.25">
      <c r="A40" s="153"/>
      <c r="B40" s="1326"/>
      <c r="E40" s="1249"/>
      <c r="F40" s="2"/>
      <c r="H40" s="2"/>
      <c r="I40" s="1257"/>
      <c r="J40" s="66"/>
      <c r="L40" s="2"/>
      <c r="M40" s="1335"/>
      <c r="Q40" s="1335"/>
      <c r="T40" s="2"/>
      <c r="U40" s="73"/>
      <c r="X40" s="2"/>
      <c r="Y40" s="73"/>
      <c r="AB40" s="2"/>
      <c r="AC40" s="73"/>
    </row>
    <row r="41" spans="1:29" x14ac:dyDescent="0.25">
      <c r="A41" s="154"/>
      <c r="B41" s="1326"/>
      <c r="D41" s="8">
        <f>SUM(D33:D40)</f>
        <v>14344</v>
      </c>
      <c r="E41" s="1249"/>
      <c r="F41" s="2"/>
      <c r="G41" s="1527">
        <f>IF(D41=0,"0.00%",(H41-D41)/D41)</f>
        <v>-2.7119353039598438E-2</v>
      </c>
      <c r="H41" s="8">
        <f>SUM(H33:H40)</f>
        <v>13955</v>
      </c>
      <c r="I41" s="1882">
        <f>+H41-D41</f>
        <v>-389</v>
      </c>
      <c r="J41" s="29"/>
      <c r="K41" s="1527">
        <f>IF(H41=0,"0.00%",(L41-H41)/H41)</f>
        <v>0</v>
      </c>
      <c r="L41" s="8">
        <f>SUM(L33:L40)</f>
        <v>13955</v>
      </c>
      <c r="M41" s="1882">
        <f>+L41-H41</f>
        <v>0</v>
      </c>
      <c r="O41" s="1527">
        <f>IF(L41=0,"0.00%",(P41-L41)/L41)</f>
        <v>0</v>
      </c>
      <c r="P41" s="8">
        <f>SUM(P33:P40)</f>
        <v>13955</v>
      </c>
      <c r="Q41" s="1882">
        <f>+P41-L41</f>
        <v>0</v>
      </c>
      <c r="S41" s="83">
        <f>IF(P41=0,"0.00%",(T41-P41)/P41)</f>
        <v>0</v>
      </c>
      <c r="T41" s="8">
        <f>SUM(T33:T40)</f>
        <v>13955</v>
      </c>
      <c r="U41" s="73"/>
      <c r="W41" s="83">
        <f>IF(T41=0,"0.00%",(X41-T41)/T41)</f>
        <v>1.9992834109638122E-2</v>
      </c>
      <c r="X41" s="8">
        <f>SUM(X33:X40)</f>
        <v>14234</v>
      </c>
      <c r="Y41" s="73"/>
      <c r="AA41" s="83">
        <f>IF(X41=0,"0.00%",(AB41-X41)/X41)</f>
        <v>2.0022481382605029E-2</v>
      </c>
      <c r="AB41" s="8">
        <f>SUM(AB33:AB40)</f>
        <v>14519</v>
      </c>
      <c r="AC41" s="73"/>
    </row>
    <row r="42" spans="1:29" x14ac:dyDescent="0.25">
      <c r="A42" s="153"/>
      <c r="B42" s="1317" t="s">
        <v>28</v>
      </c>
      <c r="E42" s="1249"/>
      <c r="F42" s="2"/>
      <c r="H42" s="2"/>
      <c r="I42" s="1257"/>
      <c r="J42" s="66"/>
      <c r="L42" s="2"/>
      <c r="M42" s="1335"/>
      <c r="Q42" s="1335"/>
      <c r="T42" s="2"/>
      <c r="U42" s="73"/>
      <c r="X42" s="2"/>
      <c r="Y42" s="73"/>
      <c r="AB42" s="2"/>
      <c r="AC42" s="73"/>
    </row>
    <row r="43" spans="1:29" x14ac:dyDescent="0.25">
      <c r="A43" s="155"/>
      <c r="B43" s="1323" t="s">
        <v>27</v>
      </c>
      <c r="E43" s="1249"/>
      <c r="F43" s="2"/>
      <c r="H43" s="2"/>
      <c r="I43" s="1257"/>
      <c r="J43" s="66"/>
      <c r="L43" s="2"/>
      <c r="M43" s="1335"/>
      <c r="Q43" s="1335"/>
      <c r="T43" s="2"/>
      <c r="U43" s="73"/>
      <c r="X43" s="2"/>
      <c r="Y43" s="73"/>
      <c r="AB43" s="2"/>
      <c r="AC43" s="73"/>
    </row>
    <row r="44" spans="1:29" x14ac:dyDescent="0.25">
      <c r="A44" s="153"/>
      <c r="B44" s="1326" t="s">
        <v>83</v>
      </c>
      <c r="C44" s="1243" t="s">
        <v>76</v>
      </c>
      <c r="D44" s="2">
        <v>1805</v>
      </c>
      <c r="E44" s="1240" t="str">
        <f>TEXT('MYP Assumptions'!$D$52,"0.00%")&amp;", STRS rate"</f>
        <v>12.58%, STRS rate</v>
      </c>
      <c r="F44" s="2"/>
      <c r="G44" s="1527">
        <f t="shared" ref="G44:G53" si="20">IF(D44=0,"0.00%",(H44-D44)/D44)</f>
        <v>0.11523545706371191</v>
      </c>
      <c r="H44" s="2">
        <f>ROUND(H41*LEFT(I44,6),0)-1</f>
        <v>2013</v>
      </c>
      <c r="I44" s="1240" t="str">
        <f>TEXT('MYP Assumptions'!E52,"0.00%")&amp;", projected STRS rate"</f>
        <v>14.43%, projected STRS rate</v>
      </c>
      <c r="J44" s="66"/>
      <c r="K44" s="1527">
        <f t="shared" ref="K44:K53" si="21">IF(H44=0,"0.00%",(L44-H44)/H44)</f>
        <v>0.12866368604073522</v>
      </c>
      <c r="L44" s="2">
        <f>ROUND(L41*LEFT(M44,6),0)</f>
        <v>2272</v>
      </c>
      <c r="M44" s="1240" t="str">
        <f>TEXT('MYP Assumptions'!F52,"0.00%")&amp;", projected STRS rate"</f>
        <v>16.28%, projected STRS rate</v>
      </c>
      <c r="O44" s="1527">
        <f t="shared" ref="O44:O53" si="22">IF(L44=0,"0.00%",(P44-L44)/L44)</f>
        <v>0.11355633802816902</v>
      </c>
      <c r="P44" s="2">
        <f>ROUND(P41*LEFT(Q44,6),0)</f>
        <v>2530</v>
      </c>
      <c r="Q44" s="1240" t="str">
        <f>TEXT('MYP Assumptions'!G52,"0.00%")&amp;", projected STRS rate"</f>
        <v>18.13%, projected STRS rate</v>
      </c>
      <c r="S44" s="83">
        <f t="shared" ref="S44:S53" si="23">IF(P44=0,"0.00%",(T44-P44)/P44)</f>
        <v>-1</v>
      </c>
      <c r="T44" s="2">
        <f>ROUND(T30*LEFT(U44,6),0)</f>
        <v>0</v>
      </c>
      <c r="U44" s="81" t="str">
        <f>TEXT('MYP Assumptions'!H52,"0.00%")&amp;", projected STRS rate"</f>
        <v>19.10%, projected STRS rate</v>
      </c>
      <c r="W44" s="83" t="str">
        <f t="shared" ref="W44:W53" si="24">IF(T44=0,"0.00%",(X44-T44)/T44)</f>
        <v>0.00%</v>
      </c>
      <c r="X44" s="2">
        <f>ROUND(X30*LEFT(Y44,6),0)</f>
        <v>0</v>
      </c>
      <c r="Y44" s="81" t="str">
        <f>TEXT('MYP Assumptions'!I52,"0.00%")&amp;", projected STRS rate"</f>
        <v>19.10%, projected STRS rate</v>
      </c>
      <c r="AA44" s="83" t="str">
        <f t="shared" ref="AA44:AA53" si="25">IF(X44=0,"0.00%",(AB44-X44)/X44)</f>
        <v>0.00%</v>
      </c>
      <c r="AB44" s="2">
        <f>ROUND(AB30*LEFT(AC44,6),0)</f>
        <v>0</v>
      </c>
      <c r="AC44" s="81" t="str">
        <f>TEXT('MYP Assumptions'!J52,"0.00%")&amp;", projected STRS rate"</f>
        <v>19.10%, projected STRS rate</v>
      </c>
    </row>
    <row r="45" spans="1:29" x14ac:dyDescent="0.25">
      <c r="A45" s="153"/>
      <c r="B45" s="1326" t="s">
        <v>84</v>
      </c>
      <c r="C45" s="1243" t="s">
        <v>77</v>
      </c>
      <c r="D45" s="2">
        <v>0</v>
      </c>
      <c r="E45" s="1240" t="str">
        <f>TEXT('MYP Assumptions'!$D$53,"0.00%")&amp;", PERS rate"</f>
        <v>13.89%, PERS rate</v>
      </c>
      <c r="F45" s="2"/>
      <c r="G45" s="1527" t="str">
        <f t="shared" si="20"/>
        <v>0.00%</v>
      </c>
      <c r="H45" s="2">
        <v>0</v>
      </c>
      <c r="I45" s="1240" t="str">
        <f>TEXT('MYP Assumptions'!E53,"0.00%")&amp;", projected PERS rate"</f>
        <v>15.53%, projected PERS rate</v>
      </c>
      <c r="J45" s="66"/>
      <c r="K45" s="1527" t="str">
        <f t="shared" si="21"/>
        <v>0.00%</v>
      </c>
      <c r="L45" s="2">
        <v>0</v>
      </c>
      <c r="M45" s="1240" t="str">
        <f>TEXT('MYP Assumptions'!F53,"0.00%")&amp;", projected PERS rate"</f>
        <v>18.10%, projected PERS rate</v>
      </c>
      <c r="O45" s="1527" t="str">
        <f t="shared" si="22"/>
        <v>0.00%</v>
      </c>
      <c r="P45" s="2">
        <v>0</v>
      </c>
      <c r="Q45" s="1240" t="str">
        <f>TEXT('MYP Assumptions'!G53,"0.00%")&amp;", projected PERS rate"</f>
        <v>20.80%, projected PERS rate</v>
      </c>
      <c r="S45" s="83" t="str">
        <f t="shared" si="23"/>
        <v>0.00%</v>
      </c>
      <c r="T45" s="2">
        <f>ROUND(T41*LEFT(U45,6),0)</f>
        <v>3321</v>
      </c>
      <c r="U45" s="81" t="str">
        <f>TEXT('MYP Assumptions'!H53,"0.00%")&amp;", projected PERS rate"</f>
        <v>23.80%, projected PERS rate</v>
      </c>
      <c r="W45" s="83">
        <f t="shared" si="24"/>
        <v>8.009635651912074E-2</v>
      </c>
      <c r="X45" s="2">
        <f>ROUND(X41*LEFT(Y45,6),0)</f>
        <v>3587</v>
      </c>
      <c r="Y45" s="81" t="str">
        <f>TEXT('MYP Assumptions'!I53,"0.00%")&amp;", projected PERS rate"</f>
        <v>25.20%, projected PERS rate</v>
      </c>
      <c r="AA45" s="83">
        <f t="shared" si="25"/>
        <v>5.6314468915528298E-2</v>
      </c>
      <c r="AB45" s="2">
        <f>ROUND(AB41*LEFT(AC45,6),0)</f>
        <v>3789</v>
      </c>
      <c r="AC45" s="81" t="str">
        <f>TEXT('MYP Assumptions'!J53,"0.00%")&amp;", projected PERS rate"</f>
        <v>26.10%, projected PERS rate</v>
      </c>
    </row>
    <row r="46" spans="1:29" x14ac:dyDescent="0.25">
      <c r="A46" s="153"/>
      <c r="B46" s="1326" t="s">
        <v>85</v>
      </c>
      <c r="C46" s="1243" t="s">
        <v>78</v>
      </c>
      <c r="D46" s="2">
        <v>0</v>
      </c>
      <c r="E46" s="1240" t="str">
        <f>TEXT('MYP Assumptions'!$D$54,"0.00%")&amp;", SS rate"</f>
        <v>6.20%, SS rate</v>
      </c>
      <c r="F46" s="2"/>
      <c r="G46" s="1527" t="str">
        <f t="shared" si="20"/>
        <v>0.00%</v>
      </c>
      <c r="H46" s="2">
        <v>0</v>
      </c>
      <c r="I46" s="1240" t="str">
        <f>TEXT('MYP Assumptions'!E54,"0.00%")&amp;", no rate change"</f>
        <v>6.20%, no rate change</v>
      </c>
      <c r="J46" s="66"/>
      <c r="K46" s="1527" t="str">
        <f t="shared" si="21"/>
        <v>0.00%</v>
      </c>
      <c r="L46" s="2">
        <v>0</v>
      </c>
      <c r="M46" s="1240" t="str">
        <f>TEXT('MYP Assumptions'!F54,"0.00%")&amp;", no rate change"</f>
        <v>6.20%, no rate change</v>
      </c>
      <c r="O46" s="1527" t="str">
        <f t="shared" si="22"/>
        <v>0.00%</v>
      </c>
      <c r="P46" s="2">
        <v>0</v>
      </c>
      <c r="Q46" s="1240" t="str">
        <f>TEXT('MYP Assumptions'!G54,"0.00%")&amp;", no rate change"</f>
        <v>6.20%, no rate change</v>
      </c>
      <c r="S46" s="83" t="str">
        <f t="shared" si="23"/>
        <v>0.00%</v>
      </c>
      <c r="T46" s="2">
        <f>ROUND(T41*LEFT(U46,5),0)</f>
        <v>865</v>
      </c>
      <c r="U46" s="81" t="str">
        <f>TEXT('MYP Assumptions'!H54,"0.00%")&amp;", no rate change"</f>
        <v>6.20%, no rate change</v>
      </c>
      <c r="W46" s="83">
        <f t="shared" si="24"/>
        <v>2.0809248554913295E-2</v>
      </c>
      <c r="X46" s="2">
        <f>ROUND(X41*LEFT(Y46,5),0)</f>
        <v>883</v>
      </c>
      <c r="Y46" s="81" t="str">
        <f>TEXT('MYP Assumptions'!I54,"0.00%")&amp;", no rate change"</f>
        <v>6.20%, no rate change</v>
      </c>
      <c r="AA46" s="83">
        <f t="shared" si="25"/>
        <v>1.9252548131370329E-2</v>
      </c>
      <c r="AB46" s="2">
        <f>ROUND(AB41*LEFT(AC46,5),0)</f>
        <v>900</v>
      </c>
      <c r="AC46" s="81" t="str">
        <f>TEXT('MYP Assumptions'!J54,"0.00%")&amp;", no rate change"</f>
        <v>6.20%, no rate change</v>
      </c>
    </row>
    <row r="47" spans="1:29" x14ac:dyDescent="0.25">
      <c r="A47" s="153"/>
      <c r="B47" s="1326" t="s">
        <v>86</v>
      </c>
      <c r="C47" s="1243" t="s">
        <v>79</v>
      </c>
      <c r="D47" s="2">
        <v>208</v>
      </c>
      <c r="E47" s="1240" t="str">
        <f>TEXT('MYP Assumptions'!$D$55,"0.00%")&amp;", Medicare rate"</f>
        <v>1.45%, Medicare rate</v>
      </c>
      <c r="F47" s="2"/>
      <c r="G47" s="1527">
        <f t="shared" si="20"/>
        <v>-2.8846153846153848E-2</v>
      </c>
      <c r="H47" s="2">
        <f>ROUND((H41+H30)*LEFT(I47,5),0)</f>
        <v>202</v>
      </c>
      <c r="I47" s="1240" t="str">
        <f>TEXT('MYP Assumptions'!E55,"0.00%")&amp;", no rate change"</f>
        <v>1.45%, no rate change</v>
      </c>
      <c r="J47" s="66"/>
      <c r="K47" s="1527">
        <f t="shared" si="21"/>
        <v>0</v>
      </c>
      <c r="L47" s="2">
        <f>ROUND((L41+L30)*LEFT(M47,5),0)</f>
        <v>202</v>
      </c>
      <c r="M47" s="1240" t="str">
        <f>TEXT('MYP Assumptions'!F55,"0.00%")&amp;", no rate change"</f>
        <v>1.45%, no rate change</v>
      </c>
      <c r="O47" s="1527">
        <f t="shared" si="22"/>
        <v>0</v>
      </c>
      <c r="P47" s="2">
        <f>ROUND((P41+P30)*LEFT(Q47,5),0)</f>
        <v>202</v>
      </c>
      <c r="Q47" s="1240" t="str">
        <f>TEXT('MYP Assumptions'!G55,"0.00%")&amp;", no rate change"</f>
        <v>1.45%, no rate change</v>
      </c>
      <c r="S47" s="83">
        <f t="shared" si="23"/>
        <v>0</v>
      </c>
      <c r="T47" s="2">
        <f>ROUND((T41+T30)*LEFT(U47,5),0)</f>
        <v>202</v>
      </c>
      <c r="U47" s="81" t="str">
        <f>TEXT('MYP Assumptions'!H55,"0.00%")&amp;", no rate change"</f>
        <v>1.45%, no rate change</v>
      </c>
      <c r="W47" s="83">
        <f t="shared" si="24"/>
        <v>1.9801980198019802E-2</v>
      </c>
      <c r="X47" s="2">
        <f>ROUND((X41+X30)*LEFT(Y47,5),0)</f>
        <v>206</v>
      </c>
      <c r="Y47" s="81" t="str">
        <f>TEXT('MYP Assumptions'!I55,"0.00%")&amp;", no rate change"</f>
        <v>1.45%, no rate change</v>
      </c>
      <c r="AA47" s="83">
        <f t="shared" si="25"/>
        <v>2.4271844660194174E-2</v>
      </c>
      <c r="AB47" s="2">
        <f>ROUND((AB41+AB30)*LEFT(AC47,5),0)</f>
        <v>211</v>
      </c>
      <c r="AC47" s="81" t="str">
        <f>TEXT('MYP Assumptions'!J55,"0.00%")&amp;", no rate change"</f>
        <v>1.45%, no rate change</v>
      </c>
    </row>
    <row r="48" spans="1:29" x14ac:dyDescent="0.25">
      <c r="A48" s="153"/>
      <c r="B48" s="1326" t="s">
        <v>87</v>
      </c>
      <c r="C48" s="1243" t="s">
        <v>80</v>
      </c>
      <c r="D48" s="2">
        <v>837</v>
      </c>
      <c r="E48" s="1240"/>
      <c r="F48" s="2"/>
      <c r="G48" s="1527">
        <f t="shared" si="20"/>
        <v>8.0047789725209081E-2</v>
      </c>
      <c r="H48" s="2">
        <v>904</v>
      </c>
      <c r="I48" s="1240" t="str">
        <f>TEXT('MYP Assumptions'!$M$62,"0.00%")&amp;", projected increase"</f>
        <v>7.00%, projected increase</v>
      </c>
      <c r="J48" s="66"/>
      <c r="K48" s="1527">
        <f t="shared" si="21"/>
        <v>6.9690265486725661E-2</v>
      </c>
      <c r="L48" s="2">
        <f>ROUND((H48)*(LEFT(M48,5)+1),0)</f>
        <v>967</v>
      </c>
      <c r="M48" s="1240" t="str">
        <f>TEXT('MYP Assumptions'!$M$62,"0.00%")&amp;", projected increase"</f>
        <v>7.00%, projected increase</v>
      </c>
      <c r="O48" s="1527">
        <f t="shared" si="22"/>
        <v>7.0320579110651496E-2</v>
      </c>
      <c r="P48" s="2">
        <f>ROUND((L48)*(LEFT(Q48,5)+1),0)</f>
        <v>1035</v>
      </c>
      <c r="Q48" s="1240" t="str">
        <f>TEXT('MYP Assumptions'!$M$62,"0.00%")&amp;", projected increase"</f>
        <v>7.00%, projected increase</v>
      </c>
      <c r="S48" s="83">
        <f t="shared" si="23"/>
        <v>6.9565217391304349E-2</v>
      </c>
      <c r="T48" s="2">
        <f>ROUND((P48)*(LEFT(U48,5)+1),0)</f>
        <v>1107</v>
      </c>
      <c r="U48" s="81" t="str">
        <f>TEXT('MYP Assumptions'!$M$62,"0.00%")&amp;", projected increase"</f>
        <v>7.00%, projected increase</v>
      </c>
      <c r="W48" s="83">
        <f t="shared" si="24"/>
        <v>6.9557362240289064E-2</v>
      </c>
      <c r="X48" s="2">
        <f>ROUND((T48)*(LEFT(Y48,5)+1),0)</f>
        <v>1184</v>
      </c>
      <c r="Y48" s="81" t="str">
        <f>TEXT('MYP Assumptions'!$M$62,"0.00%")&amp;", projected increase"</f>
        <v>7.00%, projected increase</v>
      </c>
      <c r="AA48" s="83">
        <f t="shared" si="25"/>
        <v>7.0101351351351357E-2</v>
      </c>
      <c r="AB48" s="2">
        <f>ROUND((X48)*(LEFT(AC48,5)+1),0)</f>
        <v>1267</v>
      </c>
      <c r="AC48" s="81" t="str">
        <f>TEXT('MYP Assumptions'!$M$62,"0.00%")&amp;", projected increase"</f>
        <v>7.00%, projected increase</v>
      </c>
    </row>
    <row r="49" spans="1:29" x14ac:dyDescent="0.25">
      <c r="A49" s="153"/>
      <c r="B49" s="1326" t="s">
        <v>88</v>
      </c>
      <c r="C49" s="1243" t="s">
        <v>81</v>
      </c>
      <c r="D49" s="2">
        <v>7</v>
      </c>
      <c r="E49" s="1240" t="str">
        <f>TEXT('MYP Assumptions'!$D$56,"0.00%")&amp;", SUI rate"</f>
        <v>0.05%, SUI rate</v>
      </c>
      <c r="F49" s="2"/>
      <c r="G49" s="1527">
        <f t="shared" si="20"/>
        <v>0</v>
      </c>
      <c r="H49" s="2">
        <f>ROUND((H41+H30)*LEFT(I49,5),0)</f>
        <v>7</v>
      </c>
      <c r="I49" s="1240" t="str">
        <f>TEXT('MYP Assumptions'!E56,"0.00%")&amp;", no rate change"</f>
        <v>0.05%, no rate change</v>
      </c>
      <c r="J49" s="66"/>
      <c r="K49" s="1527">
        <f t="shared" si="21"/>
        <v>0</v>
      </c>
      <c r="L49" s="2">
        <f>ROUND((L41+L30)*LEFT(M49,5),0)</f>
        <v>7</v>
      </c>
      <c r="M49" s="1240" t="str">
        <f>TEXT('MYP Assumptions'!F56,"0.00%")&amp;", no rate change"</f>
        <v>0.05%, no rate change</v>
      </c>
      <c r="O49" s="1527">
        <f t="shared" si="22"/>
        <v>0</v>
      </c>
      <c r="P49" s="2">
        <f>ROUND((P41+P30)*LEFT(Q49,5),0)</f>
        <v>7</v>
      </c>
      <c r="Q49" s="1240" t="str">
        <f>TEXT('MYP Assumptions'!G56,"0.00%")&amp;", no rate change"</f>
        <v>0.05%, no rate change</v>
      </c>
      <c r="S49" s="83">
        <f t="shared" si="23"/>
        <v>0</v>
      </c>
      <c r="T49" s="2">
        <f>ROUND((T41+T30)*LEFT(U49,5),0)</f>
        <v>7</v>
      </c>
      <c r="U49" s="81" t="str">
        <f>TEXT('MYP Assumptions'!H56,"0.00%")&amp;", no rate change"</f>
        <v>0.05%, no rate change</v>
      </c>
      <c r="W49" s="83">
        <f t="shared" si="24"/>
        <v>0</v>
      </c>
      <c r="X49" s="2">
        <f>ROUND((X41+X30)*LEFT(Y49,5),0)</f>
        <v>7</v>
      </c>
      <c r="Y49" s="81" t="str">
        <f>TEXT('MYP Assumptions'!I56,"0.00%")&amp;", no rate change"</f>
        <v>0.05%, no rate change</v>
      </c>
      <c r="AA49" s="83">
        <f t="shared" si="25"/>
        <v>0</v>
      </c>
      <c r="AB49" s="2">
        <f>ROUND((AB41+AB30)*LEFT(AC49,5),0)</f>
        <v>7</v>
      </c>
      <c r="AC49" s="81" t="str">
        <f>TEXT('MYP Assumptions'!J56,"0.00%")&amp;", no rate change"</f>
        <v>0.05%, no rate change</v>
      </c>
    </row>
    <row r="50" spans="1:29" x14ac:dyDescent="0.25">
      <c r="A50" s="153"/>
      <c r="B50" s="1326" t="s">
        <v>89</v>
      </c>
      <c r="C50" s="1243" t="s">
        <v>82</v>
      </c>
      <c r="D50" s="2">
        <v>157</v>
      </c>
      <c r="E50" s="1240" t="str">
        <f>TEXT('MYP Assumptions'!$D$57,"0.00%")&amp;", W/C rate"</f>
        <v>1.10%, W/C rate</v>
      </c>
      <c r="F50" s="2"/>
      <c r="G50" s="1527">
        <f t="shared" si="20"/>
        <v>-1.9108280254777069E-2</v>
      </c>
      <c r="H50" s="2">
        <f>ROUND((H41+H30)*LEFT(I50,5),0)</f>
        <v>154</v>
      </c>
      <c r="I50" s="1240" t="str">
        <f>TEXT('MYP Assumptions'!E57,"0.00%")&amp;", no rate change"</f>
        <v>1.10%, no rate change</v>
      </c>
      <c r="J50" s="66"/>
      <c r="K50" s="1527">
        <f t="shared" si="21"/>
        <v>0</v>
      </c>
      <c r="L50" s="2">
        <f>ROUND((L41+L30)*LEFT(M50,5),0)</f>
        <v>154</v>
      </c>
      <c r="M50" s="1240" t="str">
        <f>TEXT('MYP Assumptions'!F57,"0.00%")&amp;", no rate change"</f>
        <v>1.10%, no rate change</v>
      </c>
      <c r="O50" s="1527">
        <f t="shared" si="22"/>
        <v>0</v>
      </c>
      <c r="P50" s="2">
        <f>ROUND((P41+P30)*LEFT(Q50,5),0)</f>
        <v>154</v>
      </c>
      <c r="Q50" s="1240" t="str">
        <f>TEXT('MYP Assumptions'!G57,"0.00%")&amp;", no rate change"</f>
        <v>1.10%, no rate change</v>
      </c>
      <c r="S50" s="83">
        <f t="shared" si="23"/>
        <v>0</v>
      </c>
      <c r="T50" s="2">
        <f>ROUND((T41+T30)*LEFT(U50,5),0)</f>
        <v>154</v>
      </c>
      <c r="U50" s="81" t="str">
        <f>TEXT('MYP Assumptions'!H57,"0.00%")&amp;", no rate change"</f>
        <v>1.10%, no rate change</v>
      </c>
      <c r="W50" s="83">
        <f t="shared" si="24"/>
        <v>1.948051948051948E-2</v>
      </c>
      <c r="X50" s="2">
        <f>ROUND((X41+X30)*LEFT(Y50,5),0)</f>
        <v>157</v>
      </c>
      <c r="Y50" s="81" t="str">
        <f>TEXT('MYP Assumptions'!I57,"0.00%")&amp;", no rate change"</f>
        <v>1.10%, no rate change</v>
      </c>
      <c r="AA50" s="83">
        <f t="shared" si="25"/>
        <v>1.9108280254777069E-2</v>
      </c>
      <c r="AB50" s="2">
        <f>ROUND((AB41+AB30)*LEFT(AC50,5),0)</f>
        <v>160</v>
      </c>
      <c r="AC50" s="81" t="str">
        <f>TEXT('MYP Assumptions'!J57,"0.00%")&amp;", no rate change"</f>
        <v>1.10%, no rate change</v>
      </c>
    </row>
    <row r="51" spans="1:29" x14ac:dyDescent="0.25">
      <c r="A51" s="153"/>
      <c r="B51" s="1326" t="s">
        <v>91</v>
      </c>
      <c r="C51" s="1243" t="s">
        <v>93</v>
      </c>
      <c r="D51" s="2">
        <v>0</v>
      </c>
      <c r="E51" s="1249"/>
      <c r="F51" s="2"/>
      <c r="G51" s="1527" t="str">
        <f t="shared" ref="G51" si="26">IF(D51=0,"0.00%",(H51-D51)/D51)</f>
        <v>0.00%</v>
      </c>
      <c r="H51" s="2">
        <f>D51</f>
        <v>0</v>
      </c>
      <c r="I51" s="1240" t="s">
        <v>166</v>
      </c>
      <c r="J51" s="66"/>
      <c r="K51" s="1527" t="str">
        <f t="shared" ref="K51" si="27">IF(H51=0,"0.00%",(L51-H51)/H51)</f>
        <v>0.00%</v>
      </c>
      <c r="L51" s="2">
        <f>H51</f>
        <v>0</v>
      </c>
      <c r="M51" s="1240" t="s">
        <v>166</v>
      </c>
      <c r="O51" s="1527" t="str">
        <f t="shared" ref="O51" si="28">IF(L51=0,"0.00%",(P51-L51)/L51)</f>
        <v>0.00%</v>
      </c>
      <c r="P51" s="2">
        <f>L51</f>
        <v>0</v>
      </c>
      <c r="Q51" s="1240" t="s">
        <v>166</v>
      </c>
      <c r="S51" s="83" t="str">
        <f t="shared" ref="S51" si="29">IF(P51=0,"0.00%",(T51-P51)/P51)</f>
        <v>0.00%</v>
      </c>
      <c r="T51" s="2">
        <f>P51</f>
        <v>0</v>
      </c>
      <c r="U51" s="81" t="s">
        <v>166</v>
      </c>
      <c r="W51" s="83" t="str">
        <f t="shared" ref="W51" si="30">IF(T51=0,"0.00%",(X51-T51)/T51)</f>
        <v>0.00%</v>
      </c>
      <c r="X51" s="2">
        <f>T51</f>
        <v>0</v>
      </c>
      <c r="Y51" s="81" t="s">
        <v>166</v>
      </c>
      <c r="AA51" s="83" t="str">
        <f t="shared" ref="AA51" si="31">IF(X51=0,"0.00%",(AB51-X51)/X51)</f>
        <v>0.00%</v>
      </c>
      <c r="AB51" s="2">
        <f>X51</f>
        <v>0</v>
      </c>
      <c r="AC51" s="81" t="s">
        <v>166</v>
      </c>
    </row>
    <row r="52" spans="1:29" x14ac:dyDescent="0.25">
      <c r="A52" s="153"/>
      <c r="B52" s="1326"/>
      <c r="E52" s="1249"/>
      <c r="F52" s="2"/>
      <c r="G52" s="1527"/>
      <c r="H52" s="2"/>
      <c r="I52" s="1240"/>
      <c r="J52" s="66"/>
      <c r="K52" s="1527"/>
      <c r="L52" s="2"/>
      <c r="M52" s="1240"/>
      <c r="O52" s="1527"/>
      <c r="Q52" s="1240"/>
      <c r="S52" s="83"/>
      <c r="T52" s="2"/>
      <c r="U52" s="81"/>
      <c r="W52" s="83"/>
      <c r="X52" s="2"/>
      <c r="Y52" s="81"/>
      <c r="AA52" s="83"/>
      <c r="AB52" s="2"/>
      <c r="AC52" s="81"/>
    </row>
    <row r="53" spans="1:29" x14ac:dyDescent="0.25">
      <c r="A53" s="154"/>
      <c r="B53" s="1326"/>
      <c r="D53" s="8">
        <f>SUM(D44:D52)</f>
        <v>3014</v>
      </c>
      <c r="E53" s="1249"/>
      <c r="F53" s="2"/>
      <c r="G53" s="1527">
        <f t="shared" si="20"/>
        <v>8.8254810882548107E-2</v>
      </c>
      <c r="H53" s="8">
        <f>SUM(H44:H52)</f>
        <v>3280</v>
      </c>
      <c r="I53" s="1882">
        <f>+H53-D53</f>
        <v>266</v>
      </c>
      <c r="J53" s="29"/>
      <c r="K53" s="1527">
        <f t="shared" si="21"/>
        <v>9.8170731707317077E-2</v>
      </c>
      <c r="L53" s="8">
        <f>SUM(L44:L52)</f>
        <v>3602</v>
      </c>
      <c r="M53" s="1882">
        <f>+L53-H53</f>
        <v>322</v>
      </c>
      <c r="O53" s="1527">
        <f t="shared" si="22"/>
        <v>9.0505274847307055E-2</v>
      </c>
      <c r="P53" s="8">
        <f>SUM(P44:P52)</f>
        <v>3928</v>
      </c>
      <c r="Q53" s="1882">
        <f>+P53-L53</f>
        <v>326</v>
      </c>
      <c r="S53" s="83">
        <f t="shared" si="23"/>
        <v>0.43991853360488797</v>
      </c>
      <c r="T53" s="8">
        <f>SUM(T44:T52)</f>
        <v>5656</v>
      </c>
      <c r="U53" s="73"/>
      <c r="W53" s="83">
        <f t="shared" si="24"/>
        <v>6.5063649222065062E-2</v>
      </c>
      <c r="X53" s="8">
        <f>SUM(X44:X52)</f>
        <v>6024</v>
      </c>
      <c r="Y53" s="73"/>
      <c r="AA53" s="83">
        <f t="shared" si="25"/>
        <v>5.1460823373173974E-2</v>
      </c>
      <c r="AB53" s="8">
        <f>SUM(AB44:AB52)</f>
        <v>6334</v>
      </c>
      <c r="AC53" s="73"/>
    </row>
    <row r="54" spans="1:29" x14ac:dyDescent="0.25">
      <c r="A54" s="155"/>
      <c r="B54" s="1326"/>
      <c r="E54" s="1249"/>
      <c r="F54" s="2"/>
      <c r="H54" s="2"/>
      <c r="I54" s="1257"/>
      <c r="J54" s="66"/>
      <c r="L54" s="2"/>
      <c r="M54" s="1335"/>
      <c r="Q54" s="1335"/>
      <c r="T54" s="2"/>
      <c r="U54" s="73"/>
      <c r="X54" s="2"/>
      <c r="Y54" s="73"/>
      <c r="AB54" s="2"/>
      <c r="AC54" s="73"/>
    </row>
    <row r="55" spans="1:29" x14ac:dyDescent="0.25">
      <c r="A55" s="154"/>
      <c r="B55" s="1323" t="s">
        <v>26</v>
      </c>
      <c r="D55" s="8">
        <f>SUM(D53,D41,D30)</f>
        <v>17358</v>
      </c>
      <c r="E55" s="1249"/>
      <c r="F55" s="2"/>
      <c r="G55" s="1527">
        <f>IF(D55=0,"0.00%",(H55-D55)/D55)</f>
        <v>-7.0860698237124094E-3</v>
      </c>
      <c r="H55" s="8">
        <f>SUM(H53,H41,H30)</f>
        <v>17235</v>
      </c>
      <c r="I55" s="1882">
        <f>+H55-D55</f>
        <v>-123</v>
      </c>
      <c r="J55" s="29"/>
      <c r="K55" s="1527">
        <f>IF(H55=0,"0.00%",(L55-H55)/H55)</f>
        <v>1.8682912677690747E-2</v>
      </c>
      <c r="L55" s="8">
        <f>SUM(L53,L41,L30)</f>
        <v>17557</v>
      </c>
      <c r="M55" s="1882">
        <f>+L55-H55</f>
        <v>322</v>
      </c>
      <c r="O55" s="1527">
        <f>IF(L55=0,"0.00%",(P55-L55)/L55)</f>
        <v>1.856809249871846E-2</v>
      </c>
      <c r="P55" s="8">
        <f>SUM(P53,P41,P30)</f>
        <v>17883</v>
      </c>
      <c r="Q55" s="1882">
        <f>+P55-L55</f>
        <v>326</v>
      </c>
      <c r="S55" s="83">
        <f>IF(P55=0,"0.00%",(T55-P55)/P55)</f>
        <v>9.6628082536487164E-2</v>
      </c>
      <c r="T55" s="8">
        <f>SUM(T53,T41,T30)</f>
        <v>19611</v>
      </c>
      <c r="U55" s="73"/>
      <c r="W55" s="83">
        <f>IF(T55=0,"0.00%",(X55-T55)/T55)</f>
        <v>3.2991688338177554E-2</v>
      </c>
      <c r="X55" s="8">
        <f>SUM(X53,X41,X30)</f>
        <v>20258</v>
      </c>
      <c r="Y55" s="73"/>
      <c r="AA55" s="83">
        <f>IF(X55=0,"0.00%",(AB55-X55)/X55)</f>
        <v>2.9371112646855563E-2</v>
      </c>
      <c r="AB55" s="8">
        <f>SUM(AB53,AB41,AB30)</f>
        <v>20853</v>
      </c>
      <c r="AC55" s="73"/>
    </row>
    <row r="56" spans="1:29" x14ac:dyDescent="0.25">
      <c r="A56" s="156"/>
      <c r="E56" s="1249"/>
      <c r="F56" s="2"/>
      <c r="H56" s="2"/>
      <c r="I56" s="1257"/>
      <c r="J56" s="66"/>
      <c r="L56" s="2"/>
      <c r="M56" s="1335"/>
      <c r="Q56" s="1335"/>
      <c r="T56" s="2"/>
      <c r="U56" s="73"/>
      <c r="X56" s="2"/>
      <c r="Y56" s="73"/>
      <c r="AB56" s="2"/>
      <c r="AC56" s="73"/>
    </row>
    <row r="57" spans="1:29" hidden="1" x14ac:dyDescent="0.25">
      <c r="A57" s="153"/>
      <c r="E57" s="1249"/>
      <c r="F57" s="2"/>
      <c r="H57" s="2"/>
      <c r="I57" s="1257"/>
      <c r="J57" s="66"/>
      <c r="L57" s="2"/>
      <c r="M57" s="1335"/>
      <c r="Q57" s="1335"/>
      <c r="T57" s="2"/>
      <c r="U57" s="73"/>
      <c r="X57" s="2"/>
      <c r="Y57" s="73"/>
      <c r="AB57" s="2"/>
      <c r="AC57" s="73"/>
    </row>
    <row r="58" spans="1:29" hidden="1" x14ac:dyDescent="0.25">
      <c r="A58" s="156"/>
      <c r="B58" s="1327" t="s">
        <v>25</v>
      </c>
      <c r="C58" s="1259"/>
      <c r="E58" s="1249"/>
      <c r="F58" s="2"/>
      <c r="H58" s="2"/>
      <c r="I58" s="1257"/>
      <c r="J58" s="66"/>
      <c r="L58" s="2"/>
      <c r="M58" s="1335"/>
      <c r="Q58" s="1335"/>
      <c r="T58" s="2"/>
      <c r="U58" s="73"/>
      <c r="X58" s="2"/>
      <c r="Y58" s="73"/>
      <c r="AB58" s="2"/>
      <c r="AC58" s="73"/>
    </row>
    <row r="59" spans="1:29" hidden="1" x14ac:dyDescent="0.25">
      <c r="A59" s="153"/>
      <c r="B59" s="1326"/>
      <c r="D59" s="2">
        <v>0</v>
      </c>
      <c r="E59" s="1249"/>
      <c r="F59" s="2"/>
      <c r="G59" s="1527" t="str">
        <f t="shared" ref="G59:G66" si="32">IF(D59=0,"0.00%",(H59-D59)/D59)</f>
        <v>0.00%</v>
      </c>
      <c r="H59" s="2">
        <f t="shared" ref="H59:H65" si="33">ROUND(D59*(LEFT(I59,5)+1),0)</f>
        <v>0</v>
      </c>
      <c r="I59" s="1240" t="str">
        <f>TEXT('MYP Assumptions'!E72,"0.00%")&amp;", CPI"</f>
        <v>3.11%, CPI</v>
      </c>
      <c r="J59" s="66"/>
      <c r="K59" s="1527" t="str">
        <f t="shared" ref="K59:K66" si="34">IF(H59=0,"0.00%",(L59-H59)/H59)</f>
        <v>0.00%</v>
      </c>
      <c r="L59" s="2">
        <f>ROUND(H59*(LEFT(M59,5)+1),0)</f>
        <v>0</v>
      </c>
      <c r="M59" s="1240" t="str">
        <f>TEXT('MYP Assumptions'!F72,"0.00%")&amp;", CPI"</f>
        <v>3.19%, CPI</v>
      </c>
      <c r="O59" s="1527" t="str">
        <f t="shared" ref="O59:O66" si="35">IF(L59=0,"0.00%",(P59-L59)/L59)</f>
        <v>0.00%</v>
      </c>
      <c r="P59" s="2">
        <f>ROUND(L59*(LEFT(Q59,5)+1),0)</f>
        <v>0</v>
      </c>
      <c r="Q59" s="1240" t="str">
        <f>TEXT('MYP Assumptions'!G72,"0.00%")&amp;", CPI"</f>
        <v>2.86%, CPI</v>
      </c>
      <c r="S59" s="83" t="str">
        <f t="shared" ref="S59:S66" si="36">IF(P59=0,"0.00%",(T59-P59)/P59)</f>
        <v>0.00%</v>
      </c>
      <c r="T59" s="2">
        <f>ROUND(P59*(LEFT(U59,5)+1),0)</f>
        <v>0</v>
      </c>
      <c r="U59" s="81" t="str">
        <f>TEXT('MYP Assumptions'!H72,"0.00%")&amp;", CPI"</f>
        <v>2.73%, CPI</v>
      </c>
      <c r="W59" s="83" t="str">
        <f t="shared" ref="W59:W66" si="37">IF(T59=0,"0.00%",(X59-T59)/T59)</f>
        <v>0.00%</v>
      </c>
      <c r="X59" s="2">
        <f>ROUND(T59*(LEFT(Y59,5)+1),0)</f>
        <v>0</v>
      </c>
      <c r="Y59" s="81" t="str">
        <f>TEXT('MYP Assumptions'!I72,"0.00%")&amp;", CPI"</f>
        <v>2.73%, CPI</v>
      </c>
      <c r="AA59" s="83" t="str">
        <f t="shared" ref="AA59:AA66" si="38">IF(X59=0,"0.00%",(AB59-X59)/X59)</f>
        <v>0.00%</v>
      </c>
      <c r="AB59" s="2">
        <f>ROUND(X59*(LEFT(AC59,5)+1),0)</f>
        <v>0</v>
      </c>
      <c r="AC59" s="81" t="str">
        <f>TEXT('MYP Assumptions'!J72,"0.00%")&amp;", CPI"</f>
        <v>2.73%, CPI</v>
      </c>
    </row>
    <row r="60" spans="1:29" hidden="1" x14ac:dyDescent="0.25">
      <c r="A60" s="153"/>
      <c r="B60" s="1326"/>
      <c r="D60" s="2">
        <v>0</v>
      </c>
      <c r="E60" s="1249"/>
      <c r="F60" s="2"/>
      <c r="G60" s="1527" t="str">
        <f t="shared" si="32"/>
        <v>0.00%</v>
      </c>
      <c r="H60" s="2">
        <f t="shared" si="33"/>
        <v>0</v>
      </c>
      <c r="I60" s="1240" t="str">
        <f>TEXT('MYP Assumptions'!E72,"0.00%")&amp;", CPI"</f>
        <v>3.11%, CPI</v>
      </c>
      <c r="J60" s="66"/>
      <c r="K60" s="1527" t="str">
        <f t="shared" si="34"/>
        <v>0.00%</v>
      </c>
      <c r="L60" s="2">
        <f t="shared" ref="L60:L65" si="39">ROUND(H60*(LEFT(M60,5)+1),0)</f>
        <v>0</v>
      </c>
      <c r="M60" s="1240" t="str">
        <f>TEXT('MYP Assumptions'!F72,"0.00%")&amp;", CPI"</f>
        <v>3.19%, CPI</v>
      </c>
      <c r="O60" s="1527" t="str">
        <f t="shared" si="35"/>
        <v>0.00%</v>
      </c>
      <c r="P60" s="2">
        <f t="shared" ref="P60:P65" si="40">ROUND(L60*(LEFT(Q60,5)+1),0)</f>
        <v>0</v>
      </c>
      <c r="Q60" s="1240" t="str">
        <f>TEXT('MYP Assumptions'!G72,"0.00%")&amp;", CPI"</f>
        <v>2.86%, CPI</v>
      </c>
      <c r="S60" s="83" t="str">
        <f t="shared" si="36"/>
        <v>0.00%</v>
      </c>
      <c r="T60" s="2">
        <f t="shared" ref="T60:T65" si="41">ROUND(P60*(LEFT(U60,5)+1),0)</f>
        <v>0</v>
      </c>
      <c r="U60" s="81" t="str">
        <f>TEXT('MYP Assumptions'!H72,"0.00%")&amp;", CPI"</f>
        <v>2.73%, CPI</v>
      </c>
      <c r="W60" s="83" t="str">
        <f t="shared" si="37"/>
        <v>0.00%</v>
      </c>
      <c r="X60" s="2">
        <f t="shared" ref="X60:X65" si="42">ROUND(T60*(LEFT(Y60,5)+1),0)</f>
        <v>0</v>
      </c>
      <c r="Y60" s="81" t="str">
        <f>TEXT('MYP Assumptions'!I72,"0.00%")&amp;", CPI"</f>
        <v>2.73%, CPI</v>
      </c>
      <c r="AA60" s="83" t="str">
        <f t="shared" si="38"/>
        <v>0.00%</v>
      </c>
      <c r="AB60" s="2">
        <f t="shared" ref="AB60:AB65" si="43">ROUND(X60*(LEFT(AC60,5)+1),0)</f>
        <v>0</v>
      </c>
      <c r="AC60" s="81" t="str">
        <f>TEXT('MYP Assumptions'!J72,"0.00%")&amp;", CPI"</f>
        <v>2.73%, CPI</v>
      </c>
    </row>
    <row r="61" spans="1:29" hidden="1" x14ac:dyDescent="0.25">
      <c r="A61" s="153"/>
      <c r="B61" s="1326"/>
      <c r="D61" s="2">
        <v>0</v>
      </c>
      <c r="E61" s="1249"/>
      <c r="F61" s="2"/>
      <c r="G61" s="1527" t="str">
        <f t="shared" si="32"/>
        <v>0.00%</v>
      </c>
      <c r="H61" s="2">
        <f t="shared" si="33"/>
        <v>0</v>
      </c>
      <c r="I61" s="1240" t="str">
        <f>TEXT('MYP Assumptions'!E72,"0.00%")&amp;", CPI"</f>
        <v>3.11%, CPI</v>
      </c>
      <c r="J61" s="66"/>
      <c r="K61" s="1527" t="str">
        <f t="shared" si="34"/>
        <v>0.00%</v>
      </c>
      <c r="L61" s="2">
        <f t="shared" si="39"/>
        <v>0</v>
      </c>
      <c r="M61" s="1240" t="str">
        <f>TEXT('MYP Assumptions'!F72,"0.00%")&amp;", CPI"</f>
        <v>3.19%, CPI</v>
      </c>
      <c r="O61" s="1527" t="str">
        <f t="shared" si="35"/>
        <v>0.00%</v>
      </c>
      <c r="P61" s="2">
        <f t="shared" si="40"/>
        <v>0</v>
      </c>
      <c r="Q61" s="1240" t="str">
        <f>TEXT('MYP Assumptions'!G72,"0.00%")&amp;", CPI"</f>
        <v>2.86%, CPI</v>
      </c>
      <c r="S61" s="83" t="str">
        <f t="shared" si="36"/>
        <v>0.00%</v>
      </c>
      <c r="T61" s="2">
        <f t="shared" si="41"/>
        <v>0</v>
      </c>
      <c r="U61" s="81" t="str">
        <f>TEXT('MYP Assumptions'!H72,"0.00%")&amp;", CPI"</f>
        <v>2.73%, CPI</v>
      </c>
      <c r="W61" s="83" t="str">
        <f t="shared" si="37"/>
        <v>0.00%</v>
      </c>
      <c r="X61" s="2">
        <f t="shared" si="42"/>
        <v>0</v>
      </c>
      <c r="Y61" s="81" t="str">
        <f>TEXT('MYP Assumptions'!I72,"0.00%")&amp;", CPI"</f>
        <v>2.73%, CPI</v>
      </c>
      <c r="AA61" s="83" t="str">
        <f t="shared" si="38"/>
        <v>0.00%</v>
      </c>
      <c r="AB61" s="2">
        <f t="shared" si="43"/>
        <v>0</v>
      </c>
      <c r="AC61" s="81" t="str">
        <f>TEXT('MYP Assumptions'!J72,"0.00%")&amp;", CPI"</f>
        <v>2.73%, CPI</v>
      </c>
    </row>
    <row r="62" spans="1:29" hidden="1" x14ac:dyDescent="0.25">
      <c r="A62" s="153"/>
      <c r="B62" s="1326"/>
      <c r="D62" s="2">
        <v>0</v>
      </c>
      <c r="E62" s="1249"/>
      <c r="F62" s="2"/>
      <c r="G62" s="1527" t="str">
        <f t="shared" si="32"/>
        <v>0.00%</v>
      </c>
      <c r="H62" s="2">
        <f t="shared" si="33"/>
        <v>0</v>
      </c>
      <c r="I62" s="1240" t="str">
        <f>TEXT('MYP Assumptions'!E72,"0.00%")&amp;", CPI"</f>
        <v>3.11%, CPI</v>
      </c>
      <c r="J62" s="66"/>
      <c r="K62" s="1527" t="str">
        <f t="shared" si="34"/>
        <v>0.00%</v>
      </c>
      <c r="L62" s="2">
        <f t="shared" si="39"/>
        <v>0</v>
      </c>
      <c r="M62" s="1240" t="str">
        <f>TEXT('MYP Assumptions'!F72,"0.00%")&amp;", CPI"</f>
        <v>3.19%, CPI</v>
      </c>
      <c r="O62" s="1527" t="str">
        <f t="shared" si="35"/>
        <v>0.00%</v>
      </c>
      <c r="P62" s="2">
        <f t="shared" si="40"/>
        <v>0</v>
      </c>
      <c r="Q62" s="1240" t="str">
        <f>TEXT('MYP Assumptions'!G72,"0.00%")&amp;", CPI"</f>
        <v>2.86%, CPI</v>
      </c>
      <c r="S62" s="83" t="str">
        <f t="shared" si="36"/>
        <v>0.00%</v>
      </c>
      <c r="T62" s="2">
        <f t="shared" si="41"/>
        <v>0</v>
      </c>
      <c r="U62" s="81" t="str">
        <f>TEXT('MYP Assumptions'!H72,"0.00%")&amp;", CPI"</f>
        <v>2.73%, CPI</v>
      </c>
      <c r="W62" s="83" t="str">
        <f t="shared" si="37"/>
        <v>0.00%</v>
      </c>
      <c r="X62" s="2">
        <f t="shared" si="42"/>
        <v>0</v>
      </c>
      <c r="Y62" s="81" t="str">
        <f>TEXT('MYP Assumptions'!I72,"0.00%")&amp;", CPI"</f>
        <v>2.73%, CPI</v>
      </c>
      <c r="AA62" s="83" t="str">
        <f t="shared" si="38"/>
        <v>0.00%</v>
      </c>
      <c r="AB62" s="2">
        <f t="shared" si="43"/>
        <v>0</v>
      </c>
      <c r="AC62" s="81" t="str">
        <f>TEXT('MYP Assumptions'!J72,"0.00%")&amp;", CPI"</f>
        <v>2.73%, CPI</v>
      </c>
    </row>
    <row r="63" spans="1:29" hidden="1" x14ac:dyDescent="0.25">
      <c r="A63" s="153"/>
      <c r="B63" s="1326"/>
      <c r="D63" s="2">
        <v>0</v>
      </c>
      <c r="E63" s="1249"/>
      <c r="F63" s="2"/>
      <c r="G63" s="1527" t="str">
        <f t="shared" si="32"/>
        <v>0.00%</v>
      </c>
      <c r="H63" s="2">
        <f t="shared" si="33"/>
        <v>0</v>
      </c>
      <c r="I63" s="1240" t="str">
        <f>TEXT('MYP Assumptions'!E72,"0.00%")&amp;", CPI"</f>
        <v>3.11%, CPI</v>
      </c>
      <c r="J63" s="66"/>
      <c r="K63" s="1527" t="str">
        <f t="shared" si="34"/>
        <v>0.00%</v>
      </c>
      <c r="L63" s="2">
        <f t="shared" si="39"/>
        <v>0</v>
      </c>
      <c r="M63" s="1240" t="str">
        <f>TEXT('MYP Assumptions'!F72,"0.00%")&amp;", CPI"</f>
        <v>3.19%, CPI</v>
      </c>
      <c r="O63" s="1527" t="str">
        <f t="shared" si="35"/>
        <v>0.00%</v>
      </c>
      <c r="P63" s="2">
        <f t="shared" si="40"/>
        <v>0</v>
      </c>
      <c r="Q63" s="1240" t="str">
        <f>TEXT('MYP Assumptions'!G72,"0.00%")&amp;", CPI"</f>
        <v>2.86%, CPI</v>
      </c>
      <c r="S63" s="83" t="str">
        <f t="shared" si="36"/>
        <v>0.00%</v>
      </c>
      <c r="T63" s="2">
        <f t="shared" si="41"/>
        <v>0</v>
      </c>
      <c r="U63" s="81" t="str">
        <f>TEXT('MYP Assumptions'!H72,"0.00%")&amp;", CPI"</f>
        <v>2.73%, CPI</v>
      </c>
      <c r="W63" s="83" t="str">
        <f t="shared" si="37"/>
        <v>0.00%</v>
      </c>
      <c r="X63" s="2">
        <f t="shared" si="42"/>
        <v>0</v>
      </c>
      <c r="Y63" s="81" t="str">
        <f>TEXT('MYP Assumptions'!I72,"0.00%")&amp;", CPI"</f>
        <v>2.73%, CPI</v>
      </c>
      <c r="AA63" s="83" t="str">
        <f t="shared" si="38"/>
        <v>0.00%</v>
      </c>
      <c r="AB63" s="2">
        <f t="shared" si="43"/>
        <v>0</v>
      </c>
      <c r="AC63" s="81" t="str">
        <f>TEXT('MYP Assumptions'!J72,"0.00%")&amp;", CPI"</f>
        <v>2.73%, CPI</v>
      </c>
    </row>
    <row r="64" spans="1:29" hidden="1" x14ac:dyDescent="0.25">
      <c r="A64" s="153"/>
      <c r="B64" s="1326"/>
      <c r="D64" s="2">
        <v>0</v>
      </c>
      <c r="E64" s="1249"/>
      <c r="F64" s="2"/>
      <c r="G64" s="1527" t="str">
        <f t="shared" si="32"/>
        <v>0.00%</v>
      </c>
      <c r="H64" s="2">
        <f t="shared" si="33"/>
        <v>0</v>
      </c>
      <c r="I64" s="1240" t="str">
        <f>TEXT('MYP Assumptions'!E72,"0.00%")&amp;", CPI"</f>
        <v>3.11%, CPI</v>
      </c>
      <c r="J64" s="66"/>
      <c r="K64" s="1527" t="str">
        <f t="shared" si="34"/>
        <v>0.00%</v>
      </c>
      <c r="L64" s="2">
        <f t="shared" si="39"/>
        <v>0</v>
      </c>
      <c r="M64" s="1240" t="str">
        <f>TEXT('MYP Assumptions'!F72,"0.00%")&amp;", CPI"</f>
        <v>3.19%, CPI</v>
      </c>
      <c r="O64" s="1527" t="str">
        <f t="shared" si="35"/>
        <v>0.00%</v>
      </c>
      <c r="P64" s="2">
        <f t="shared" si="40"/>
        <v>0</v>
      </c>
      <c r="Q64" s="1240" t="str">
        <f>TEXT('MYP Assumptions'!G72,"0.00%")&amp;", CPI"</f>
        <v>2.86%, CPI</v>
      </c>
      <c r="S64" s="83" t="str">
        <f t="shared" si="36"/>
        <v>0.00%</v>
      </c>
      <c r="T64" s="2">
        <f t="shared" si="41"/>
        <v>0</v>
      </c>
      <c r="U64" s="81" t="str">
        <f>TEXT('MYP Assumptions'!H72,"0.00%")&amp;", CPI"</f>
        <v>2.73%, CPI</v>
      </c>
      <c r="W64" s="83" t="str">
        <f t="shared" si="37"/>
        <v>0.00%</v>
      </c>
      <c r="X64" s="2">
        <f t="shared" si="42"/>
        <v>0</v>
      </c>
      <c r="Y64" s="81" t="str">
        <f>TEXT('MYP Assumptions'!I72,"0.00%")&amp;", CPI"</f>
        <v>2.73%, CPI</v>
      </c>
      <c r="AA64" s="83" t="str">
        <f t="shared" si="38"/>
        <v>0.00%</v>
      </c>
      <c r="AB64" s="2">
        <f t="shared" si="43"/>
        <v>0</v>
      </c>
      <c r="AC64" s="81" t="str">
        <f>TEXT('MYP Assumptions'!J72,"0.00%")&amp;", CPI"</f>
        <v>2.73%, CPI</v>
      </c>
    </row>
    <row r="65" spans="1:29" hidden="1" x14ac:dyDescent="0.25">
      <c r="A65" s="153"/>
      <c r="B65" s="1326"/>
      <c r="C65" s="1328"/>
      <c r="D65" s="2">
        <v>0</v>
      </c>
      <c r="E65" s="1249"/>
      <c r="F65" s="2"/>
      <c r="G65" s="1527" t="str">
        <f t="shared" si="32"/>
        <v>0.00%</v>
      </c>
      <c r="H65" s="2">
        <f t="shared" si="33"/>
        <v>0</v>
      </c>
      <c r="I65" s="1240" t="str">
        <f>TEXT('MYP Assumptions'!E72,"0.00%")&amp;", CPI"</f>
        <v>3.11%, CPI</v>
      </c>
      <c r="J65" s="66"/>
      <c r="K65" s="1527" t="str">
        <f t="shared" si="34"/>
        <v>0.00%</v>
      </c>
      <c r="L65" s="2">
        <f t="shared" si="39"/>
        <v>0</v>
      </c>
      <c r="M65" s="1240" t="str">
        <f>TEXT('MYP Assumptions'!F72,"0.00%")&amp;", CPI"</f>
        <v>3.19%, CPI</v>
      </c>
      <c r="O65" s="1527" t="str">
        <f t="shared" si="35"/>
        <v>0.00%</v>
      </c>
      <c r="P65" s="2">
        <f t="shared" si="40"/>
        <v>0</v>
      </c>
      <c r="Q65" s="1240" t="str">
        <f>TEXT('MYP Assumptions'!G72,"0.00%")&amp;", CPI"</f>
        <v>2.86%, CPI</v>
      </c>
      <c r="S65" s="83" t="str">
        <f t="shared" si="36"/>
        <v>0.00%</v>
      </c>
      <c r="T65" s="2">
        <f t="shared" si="41"/>
        <v>0</v>
      </c>
      <c r="U65" s="81" t="str">
        <f>TEXT('MYP Assumptions'!H72,"0.00%")&amp;", CPI"</f>
        <v>2.73%, CPI</v>
      </c>
      <c r="W65" s="83" t="str">
        <f t="shared" si="37"/>
        <v>0.00%</v>
      </c>
      <c r="X65" s="2">
        <f t="shared" si="42"/>
        <v>0</v>
      </c>
      <c r="Y65" s="81" t="str">
        <f>TEXT('MYP Assumptions'!I72,"0.00%")&amp;", CPI"</f>
        <v>2.73%, CPI</v>
      </c>
      <c r="AA65" s="83" t="str">
        <f t="shared" si="38"/>
        <v>0.00%</v>
      </c>
      <c r="AB65" s="2">
        <f t="shared" si="43"/>
        <v>0</v>
      </c>
      <c r="AC65" s="81" t="str">
        <f>TEXT('MYP Assumptions'!J72,"0.00%")&amp;", CPI"</f>
        <v>2.73%, CPI</v>
      </c>
    </row>
    <row r="66" spans="1:29" hidden="1" x14ac:dyDescent="0.25">
      <c r="A66" s="154"/>
      <c r="B66" s="1243"/>
      <c r="D66" s="8">
        <f>SUM(D59:D65)</f>
        <v>0</v>
      </c>
      <c r="E66" s="1249"/>
      <c r="F66" s="2"/>
      <c r="G66" s="1527" t="str">
        <f t="shared" si="32"/>
        <v>0.00%</v>
      </c>
      <c r="H66" s="8">
        <f>SUM(H59:H65)</f>
        <v>0</v>
      </c>
      <c r="I66" s="1258"/>
      <c r="J66" s="29"/>
      <c r="K66" s="1527" t="str">
        <f t="shared" si="34"/>
        <v>0.00%</v>
      </c>
      <c r="L66" s="8">
        <f>SUM(L59:L65)</f>
        <v>0</v>
      </c>
      <c r="M66" s="1335"/>
      <c r="O66" s="1527" t="str">
        <f t="shared" si="35"/>
        <v>0.00%</v>
      </c>
      <c r="P66" s="8">
        <f>SUM(P59:P65)</f>
        <v>0</v>
      </c>
      <c r="Q66" s="1335"/>
      <c r="S66" s="83" t="str">
        <f t="shared" si="36"/>
        <v>0.00%</v>
      </c>
      <c r="T66" s="8">
        <f>SUM(T59:T65)</f>
        <v>0</v>
      </c>
      <c r="U66" s="73"/>
      <c r="W66" s="83" t="str">
        <f t="shared" si="37"/>
        <v>0.00%</v>
      </c>
      <c r="X66" s="8">
        <f>SUM(X59:X65)</f>
        <v>0</v>
      </c>
      <c r="Y66" s="73"/>
      <c r="AA66" s="83" t="str">
        <f t="shared" si="38"/>
        <v>0.00%</v>
      </c>
      <c r="AB66" s="8">
        <f>SUM(AB59:AB65)</f>
        <v>0</v>
      </c>
      <c r="AC66" s="73"/>
    </row>
    <row r="67" spans="1:29" hidden="1" x14ac:dyDescent="0.25">
      <c r="A67" s="153"/>
      <c r="E67" s="1249"/>
      <c r="F67" s="2"/>
      <c r="H67" s="2"/>
      <c r="I67" s="1257"/>
      <c r="J67" s="66"/>
      <c r="L67" s="2"/>
      <c r="M67" s="1335"/>
      <c r="Q67" s="1335"/>
      <c r="T67" s="2"/>
      <c r="U67" s="73"/>
      <c r="X67" s="2"/>
      <c r="Y67" s="73"/>
      <c r="AB67" s="2"/>
      <c r="AC67" s="73"/>
    </row>
    <row r="68" spans="1:29" s="4" customFormat="1" hidden="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hidden="1" x14ac:dyDescent="0.25">
      <c r="A69" s="153"/>
      <c r="B69" s="1326"/>
      <c r="D69" s="2">
        <v>0</v>
      </c>
      <c r="E69" s="1249"/>
      <c r="F69" s="2"/>
      <c r="G69" s="1527" t="str">
        <f t="shared" ref="G69:G74" si="44">IF(D69=0,"0.00%",(H69-D69)/D69)</f>
        <v>0.00%</v>
      </c>
      <c r="H69" s="2">
        <f>ROUND(D69*(LEFT(I69,5)+1),0)</f>
        <v>0</v>
      </c>
      <c r="I69" s="1240" t="str">
        <f>TEXT('MYP Assumptions'!E72,"0.00%")&amp;", CPI"</f>
        <v>3.11%, CPI</v>
      </c>
      <c r="J69" s="66"/>
      <c r="K69" s="1527" t="str">
        <f t="shared" ref="K69:K82" si="45">IF(H69=0,"0.00%",(L69-H69)/H69)</f>
        <v>0.00%</v>
      </c>
      <c r="L69" s="2">
        <f>ROUND(H69*(LEFT(M69,5)+1),0)</f>
        <v>0</v>
      </c>
      <c r="M69" s="1240" t="str">
        <f>TEXT('MYP Assumptions'!F72,"0.00%")&amp;", CPI"</f>
        <v>3.19%, CPI</v>
      </c>
      <c r="O69" s="1527" t="str">
        <f t="shared" ref="O69:O82" si="46">IF(L69=0,"0.00%",(P69-L69)/L69)</f>
        <v>0.00%</v>
      </c>
      <c r="P69" s="2">
        <f>ROUND(L69*(LEFT(Q69,5)+1),0)</f>
        <v>0</v>
      </c>
      <c r="Q69" s="1240" t="str">
        <f>TEXT('MYP Assumptions'!G72,"0.00%")&amp;", CPI"</f>
        <v>2.86%, CPI</v>
      </c>
      <c r="S69" s="83" t="str">
        <f t="shared" ref="S69:S82" si="47">IF(P69=0,"0.00%",(T69-P69)/P69)</f>
        <v>0.00%</v>
      </c>
      <c r="T69" s="2">
        <f>ROUND(P69*(LEFT(U69,5)+1),0)</f>
        <v>0</v>
      </c>
      <c r="U69" s="81" t="str">
        <f>TEXT('MYP Assumptions'!H72,"0.00%")&amp;", CPI"</f>
        <v>2.73%, CPI</v>
      </c>
      <c r="W69" s="83" t="str">
        <f t="shared" ref="W69:W82" si="48">IF(T69=0,"0.00%",(X69-T69)/T69)</f>
        <v>0.00%</v>
      </c>
      <c r="X69" s="2">
        <f>ROUND(T69*(LEFT(Y69,5)+1),0)</f>
        <v>0</v>
      </c>
      <c r="Y69" s="81" t="str">
        <f>TEXT('MYP Assumptions'!I72,"0.00%")&amp;", CPI"</f>
        <v>2.73%, CPI</v>
      </c>
      <c r="AA69" s="83" t="str">
        <f t="shared" ref="AA69:AA82" si="49">IF(X69=0,"0.00%",(AB69-X69)/X69)</f>
        <v>0.00%</v>
      </c>
      <c r="AB69" s="2">
        <f>ROUND(X69*(LEFT(AC69,5)+1),0)</f>
        <v>0</v>
      </c>
      <c r="AC69" s="81" t="str">
        <f>TEXT('MYP Assumptions'!J72,"0.00%")&amp;", CPI"</f>
        <v>2.73%, CPI</v>
      </c>
    </row>
    <row r="70" spans="1:29" hidden="1" x14ac:dyDescent="0.25">
      <c r="A70" s="153"/>
      <c r="B70" s="1326"/>
      <c r="D70" s="2">
        <v>0</v>
      </c>
      <c r="E70" s="1249"/>
      <c r="F70" s="2"/>
      <c r="G70" s="1527" t="str">
        <f t="shared" si="44"/>
        <v>0.00%</v>
      </c>
      <c r="H70" s="2">
        <f>ROUND(D70*(LEFT(I70,5)+1),0)</f>
        <v>0</v>
      </c>
      <c r="I70" s="1240" t="str">
        <f>TEXT('MYP Assumptions'!E72,"0.00%")&amp;", CPI"</f>
        <v>3.11%, CPI</v>
      </c>
      <c r="J70" s="66"/>
      <c r="K70" s="1527" t="str">
        <f t="shared" si="45"/>
        <v>0.00%</v>
      </c>
      <c r="L70" s="2">
        <f t="shared" ref="L70:L81" si="50">ROUND(H70*(LEFT(M70,5)+1),0)</f>
        <v>0</v>
      </c>
      <c r="M70" s="1240" t="str">
        <f>TEXT('MYP Assumptions'!F72,"0.00%")&amp;", CPI"</f>
        <v>3.19%, CPI</v>
      </c>
      <c r="O70" s="1527" t="str">
        <f t="shared" si="46"/>
        <v>0.00%</v>
      </c>
      <c r="P70" s="2">
        <f t="shared" ref="P70:P81" si="51">ROUND(L70*(LEFT(Q70,5)+1),0)</f>
        <v>0</v>
      </c>
      <c r="Q70" s="1240" t="str">
        <f>TEXT('MYP Assumptions'!G72,"0.00%")&amp;", CPI"</f>
        <v>2.86%, CPI</v>
      </c>
      <c r="S70" s="83" t="str">
        <f t="shared" si="47"/>
        <v>0.00%</v>
      </c>
      <c r="T70" s="2">
        <f t="shared" ref="T70:T81" si="52">ROUND(P70*(LEFT(U70,5)+1),0)</f>
        <v>0</v>
      </c>
      <c r="U70" s="81" t="str">
        <f>TEXT('MYP Assumptions'!H72,"0.00%")&amp;", CPI"</f>
        <v>2.73%, CPI</v>
      </c>
      <c r="W70" s="83" t="str">
        <f t="shared" si="48"/>
        <v>0.00%</v>
      </c>
      <c r="X70" s="2">
        <f t="shared" ref="X70:X81" si="53">ROUND(T70*(LEFT(Y70,5)+1),0)</f>
        <v>0</v>
      </c>
      <c r="Y70" s="81" t="str">
        <f>TEXT('MYP Assumptions'!I72,"0.00%")&amp;", CPI"</f>
        <v>2.73%, CPI</v>
      </c>
      <c r="AA70" s="83" t="str">
        <f t="shared" si="49"/>
        <v>0.00%</v>
      </c>
      <c r="AB70" s="2">
        <f t="shared" ref="AB70:AB81" si="54">ROUND(X70*(LEFT(AC70,5)+1),0)</f>
        <v>0</v>
      </c>
      <c r="AC70" s="81" t="str">
        <f>TEXT('MYP Assumptions'!J72,"0.00%")&amp;", CPI"</f>
        <v>2.73%, CPI</v>
      </c>
    </row>
    <row r="71" spans="1:29" hidden="1" x14ac:dyDescent="0.25">
      <c r="A71" s="153"/>
      <c r="B71" s="1326"/>
      <c r="D71" s="2">
        <v>0</v>
      </c>
      <c r="E71" s="1249"/>
      <c r="F71" s="2"/>
      <c r="G71" s="1527" t="str">
        <f t="shared" si="44"/>
        <v>0.00%</v>
      </c>
      <c r="H71" s="2">
        <f t="shared" ref="H71:H76" si="55">ROUND(D71*(LEFT(I71,5)+1),0)</f>
        <v>0</v>
      </c>
      <c r="I71" s="1240" t="str">
        <f>TEXT('MYP Assumptions'!E72,"0.00%")&amp;", CPI"</f>
        <v>3.11%, CPI</v>
      </c>
      <c r="J71" s="66"/>
      <c r="K71" s="1527" t="str">
        <f t="shared" si="45"/>
        <v>0.00%</v>
      </c>
      <c r="L71" s="2">
        <f t="shared" si="50"/>
        <v>0</v>
      </c>
      <c r="M71" s="1240" t="str">
        <f>TEXT('MYP Assumptions'!F72,"0.00%")&amp;", CPI"</f>
        <v>3.19%, CPI</v>
      </c>
      <c r="O71" s="1527" t="str">
        <f t="shared" si="46"/>
        <v>0.00%</v>
      </c>
      <c r="P71" s="2">
        <f t="shared" si="51"/>
        <v>0</v>
      </c>
      <c r="Q71" s="1240" t="str">
        <f>TEXT('MYP Assumptions'!G72,"0.00%")&amp;", CPI"</f>
        <v>2.86%, CPI</v>
      </c>
      <c r="S71" s="83" t="str">
        <f t="shared" si="47"/>
        <v>0.00%</v>
      </c>
      <c r="T71" s="2">
        <f t="shared" si="52"/>
        <v>0</v>
      </c>
      <c r="U71" s="81" t="str">
        <f>TEXT('MYP Assumptions'!H72,"0.00%")&amp;", CPI"</f>
        <v>2.73%, CPI</v>
      </c>
      <c r="W71" s="83" t="str">
        <f t="shared" si="48"/>
        <v>0.00%</v>
      </c>
      <c r="X71" s="2">
        <f t="shared" si="53"/>
        <v>0</v>
      </c>
      <c r="Y71" s="81" t="str">
        <f>TEXT('MYP Assumptions'!I72,"0.00%")&amp;", CPI"</f>
        <v>2.73%, CPI</v>
      </c>
      <c r="AA71" s="83" t="str">
        <f t="shared" si="49"/>
        <v>0.00%</v>
      </c>
      <c r="AB71" s="2">
        <f t="shared" si="54"/>
        <v>0</v>
      </c>
      <c r="AC71" s="81" t="str">
        <f>TEXT('MYP Assumptions'!J72,"0.00%")&amp;", CPI"</f>
        <v>2.73%, CPI</v>
      </c>
    </row>
    <row r="72" spans="1:29" hidden="1" x14ac:dyDescent="0.25">
      <c r="A72" s="153"/>
      <c r="B72" s="1326"/>
      <c r="D72" s="2">
        <v>0</v>
      </c>
      <c r="E72" s="1249"/>
      <c r="F72" s="2"/>
      <c r="G72" s="1527" t="str">
        <f t="shared" si="44"/>
        <v>0.00%</v>
      </c>
      <c r="H72" s="2">
        <f t="shared" si="55"/>
        <v>0</v>
      </c>
      <c r="I72" s="1240" t="str">
        <f>TEXT('MYP Assumptions'!E72,"0.00%")&amp;", CPI"</f>
        <v>3.11%, CPI</v>
      </c>
      <c r="J72" s="66"/>
      <c r="K72" s="1527" t="str">
        <f t="shared" si="45"/>
        <v>0.00%</v>
      </c>
      <c r="L72" s="2">
        <f t="shared" si="50"/>
        <v>0</v>
      </c>
      <c r="M72" s="1240" t="str">
        <f>TEXT('MYP Assumptions'!F72,"0.00%")&amp;", CPI"</f>
        <v>3.19%, CPI</v>
      </c>
      <c r="O72" s="1527" t="str">
        <f t="shared" si="46"/>
        <v>0.00%</v>
      </c>
      <c r="P72" s="2">
        <f t="shared" si="51"/>
        <v>0</v>
      </c>
      <c r="Q72" s="1240" t="str">
        <f>TEXT('MYP Assumptions'!G72,"0.00%")&amp;", CPI"</f>
        <v>2.86%, CPI</v>
      </c>
      <c r="S72" s="83" t="str">
        <f t="shared" si="47"/>
        <v>0.00%</v>
      </c>
      <c r="T72" s="2">
        <f t="shared" si="52"/>
        <v>0</v>
      </c>
      <c r="U72" s="81" t="str">
        <f>TEXT('MYP Assumptions'!H72,"0.00%")&amp;", CPI"</f>
        <v>2.73%, CPI</v>
      </c>
      <c r="W72" s="83" t="str">
        <f t="shared" si="48"/>
        <v>0.00%</v>
      </c>
      <c r="X72" s="2">
        <f t="shared" si="53"/>
        <v>0</v>
      </c>
      <c r="Y72" s="81" t="str">
        <f>TEXT('MYP Assumptions'!I72,"0.00%")&amp;", CPI"</f>
        <v>2.73%, CPI</v>
      </c>
      <c r="AA72" s="83" t="str">
        <f t="shared" si="49"/>
        <v>0.00%</v>
      </c>
      <c r="AB72" s="2">
        <f t="shared" si="54"/>
        <v>0</v>
      </c>
      <c r="AC72" s="81" t="str">
        <f>TEXT('MYP Assumptions'!J72,"0.00%")&amp;", CPI"</f>
        <v>2.73%, CPI</v>
      </c>
    </row>
    <row r="73" spans="1:29" hidden="1" x14ac:dyDescent="0.25">
      <c r="A73" s="153"/>
      <c r="B73" s="1326"/>
      <c r="D73" s="2">
        <v>0</v>
      </c>
      <c r="E73" s="1249"/>
      <c r="F73" s="2"/>
      <c r="G73" s="1527" t="str">
        <f t="shared" si="44"/>
        <v>0.00%</v>
      </c>
      <c r="H73" s="2">
        <f t="shared" si="55"/>
        <v>0</v>
      </c>
      <c r="I73" s="1240" t="str">
        <f>TEXT('MYP Assumptions'!E72,"0.00%")&amp;", CPI"</f>
        <v>3.11%, CPI</v>
      </c>
      <c r="J73" s="66"/>
      <c r="K73" s="1527" t="str">
        <f t="shared" si="45"/>
        <v>0.00%</v>
      </c>
      <c r="L73" s="2">
        <f t="shared" si="50"/>
        <v>0</v>
      </c>
      <c r="M73" s="1240" t="str">
        <f>TEXT('MYP Assumptions'!F72,"0.00%")&amp;", CPI"</f>
        <v>3.19%, CPI</v>
      </c>
      <c r="O73" s="1527" t="str">
        <f t="shared" si="46"/>
        <v>0.00%</v>
      </c>
      <c r="P73" s="2">
        <f t="shared" si="51"/>
        <v>0</v>
      </c>
      <c r="Q73" s="1240" t="str">
        <f>TEXT('MYP Assumptions'!G72,"0.00%")&amp;", CPI"</f>
        <v>2.86%, CPI</v>
      </c>
      <c r="S73" s="83" t="str">
        <f t="shared" si="47"/>
        <v>0.00%</v>
      </c>
      <c r="T73" s="2">
        <f t="shared" si="52"/>
        <v>0</v>
      </c>
      <c r="U73" s="81" t="str">
        <f>TEXT('MYP Assumptions'!H72,"0.00%")&amp;", CPI"</f>
        <v>2.73%, CPI</v>
      </c>
      <c r="W73" s="83" t="str">
        <f t="shared" si="48"/>
        <v>0.00%</v>
      </c>
      <c r="X73" s="2">
        <f t="shared" si="53"/>
        <v>0</v>
      </c>
      <c r="Y73" s="81" t="str">
        <f>TEXT('MYP Assumptions'!I72,"0.00%")&amp;", CPI"</f>
        <v>2.73%, CPI</v>
      </c>
      <c r="AA73" s="83" t="str">
        <f t="shared" si="49"/>
        <v>0.00%</v>
      </c>
      <c r="AB73" s="2">
        <f t="shared" si="54"/>
        <v>0</v>
      </c>
      <c r="AC73" s="81" t="str">
        <f>TEXT('MYP Assumptions'!J72,"0.00%")&amp;", CPI"</f>
        <v>2.73%, CPI</v>
      </c>
    </row>
    <row r="74" spans="1:29" hidden="1" x14ac:dyDescent="0.25">
      <c r="A74" s="153"/>
      <c r="B74" s="1326"/>
      <c r="D74" s="2">
        <v>0</v>
      </c>
      <c r="E74" s="1249"/>
      <c r="F74" s="2"/>
      <c r="G74" s="1527" t="str">
        <f t="shared" si="44"/>
        <v>0.00%</v>
      </c>
      <c r="H74" s="2">
        <f t="shared" si="55"/>
        <v>0</v>
      </c>
      <c r="I74" s="1240" t="str">
        <f>TEXT('MYP Assumptions'!E72,"0.00%")&amp;", CPI"</f>
        <v>3.11%, CPI</v>
      </c>
      <c r="J74" s="66"/>
      <c r="K74" s="1527" t="str">
        <f t="shared" si="45"/>
        <v>0.00%</v>
      </c>
      <c r="L74" s="2">
        <f t="shared" si="50"/>
        <v>0</v>
      </c>
      <c r="M74" s="1240" t="str">
        <f>TEXT('MYP Assumptions'!F72,"0.00%")&amp;", CPI"</f>
        <v>3.19%, CPI</v>
      </c>
      <c r="O74" s="1527" t="str">
        <f t="shared" si="46"/>
        <v>0.00%</v>
      </c>
      <c r="P74" s="2">
        <f t="shared" si="51"/>
        <v>0</v>
      </c>
      <c r="Q74" s="1240" t="str">
        <f>TEXT('MYP Assumptions'!G72,"0.00%")&amp;", CPI"</f>
        <v>2.86%, CPI</v>
      </c>
      <c r="S74" s="83" t="str">
        <f t="shared" si="47"/>
        <v>0.00%</v>
      </c>
      <c r="T74" s="2">
        <f t="shared" si="52"/>
        <v>0</v>
      </c>
      <c r="U74" s="81" t="str">
        <f>TEXT('MYP Assumptions'!H72,"0.00%")&amp;", CPI"</f>
        <v>2.73%, CPI</v>
      </c>
      <c r="W74" s="83" t="str">
        <f t="shared" si="48"/>
        <v>0.00%</v>
      </c>
      <c r="X74" s="2">
        <f t="shared" si="53"/>
        <v>0</v>
      </c>
      <c r="Y74" s="81" t="str">
        <f>TEXT('MYP Assumptions'!I72,"0.00%")&amp;", CPI"</f>
        <v>2.73%, CPI</v>
      </c>
      <c r="AA74" s="83" t="str">
        <f t="shared" si="49"/>
        <v>0.00%</v>
      </c>
      <c r="AB74" s="2">
        <f t="shared" si="54"/>
        <v>0</v>
      </c>
      <c r="AC74" s="81" t="str">
        <f>TEXT('MYP Assumptions'!J72,"0.00%")&amp;", CPI"</f>
        <v>2.73%, CPI</v>
      </c>
    </row>
    <row r="75" spans="1:29" hidden="1" x14ac:dyDescent="0.25">
      <c r="A75" s="153"/>
      <c r="B75" s="1326"/>
      <c r="D75" s="2">
        <v>0</v>
      </c>
      <c r="E75" s="1249"/>
      <c r="F75" s="2"/>
      <c r="G75" s="1527" t="str">
        <f>IF(D75=0,"0.00%",(H75-D75)/D75)</f>
        <v>0.00%</v>
      </c>
      <c r="H75" s="2">
        <f t="shared" si="55"/>
        <v>0</v>
      </c>
      <c r="I75" s="1240" t="str">
        <f>TEXT('MYP Assumptions'!E72,"0.00%")&amp;", CPI"</f>
        <v>3.11%, CPI</v>
      </c>
      <c r="J75" s="66"/>
      <c r="K75" s="1527" t="str">
        <f t="shared" si="45"/>
        <v>0.00%</v>
      </c>
      <c r="L75" s="2">
        <f t="shared" si="50"/>
        <v>0</v>
      </c>
      <c r="M75" s="1240" t="str">
        <f>TEXT('MYP Assumptions'!F72,"0.00%")&amp;", CPI"</f>
        <v>3.19%, CPI</v>
      </c>
      <c r="O75" s="1527" t="str">
        <f t="shared" si="46"/>
        <v>0.00%</v>
      </c>
      <c r="P75" s="2">
        <f t="shared" si="51"/>
        <v>0</v>
      </c>
      <c r="Q75" s="1240" t="str">
        <f>TEXT('MYP Assumptions'!G72,"0.00%")&amp;", CPI"</f>
        <v>2.86%, CPI</v>
      </c>
      <c r="S75" s="83" t="str">
        <f t="shared" si="47"/>
        <v>0.00%</v>
      </c>
      <c r="T75" s="2">
        <f t="shared" si="52"/>
        <v>0</v>
      </c>
      <c r="U75" s="81" t="str">
        <f>TEXT('MYP Assumptions'!H72,"0.00%")&amp;", CPI"</f>
        <v>2.73%, CPI</v>
      </c>
      <c r="W75" s="83" t="str">
        <f t="shared" si="48"/>
        <v>0.00%</v>
      </c>
      <c r="X75" s="2">
        <f t="shared" si="53"/>
        <v>0</v>
      </c>
      <c r="Y75" s="81" t="str">
        <f>TEXT('MYP Assumptions'!I72,"0.00%")&amp;", CPI"</f>
        <v>2.73%, CPI</v>
      </c>
      <c r="AA75" s="83" t="str">
        <f t="shared" si="49"/>
        <v>0.00%</v>
      </c>
      <c r="AB75" s="2">
        <f t="shared" si="54"/>
        <v>0</v>
      </c>
      <c r="AC75" s="81" t="str">
        <f>TEXT('MYP Assumptions'!J72,"0.00%")&amp;", CPI"</f>
        <v>2.73%, CPI</v>
      </c>
    </row>
    <row r="76" spans="1:29" hidden="1" x14ac:dyDescent="0.25">
      <c r="A76" s="153"/>
      <c r="B76" s="1326"/>
      <c r="D76" s="2">
        <v>0</v>
      </c>
      <c r="E76" s="1249"/>
      <c r="F76" s="2"/>
      <c r="G76" s="1527" t="str">
        <f t="shared" ref="G76:G82" si="56">IF(D76=0,"0.00%",(H76-D76)/D76)</f>
        <v>0.00%</v>
      </c>
      <c r="H76" s="2">
        <f t="shared" si="55"/>
        <v>0</v>
      </c>
      <c r="I76" s="1240" t="str">
        <f>TEXT('MYP Assumptions'!E72,"0.00%")&amp;", CPI"</f>
        <v>3.11%, CPI</v>
      </c>
      <c r="J76" s="66"/>
      <c r="K76" s="1527" t="str">
        <f t="shared" si="45"/>
        <v>0.00%</v>
      </c>
      <c r="L76" s="2">
        <f t="shared" si="50"/>
        <v>0</v>
      </c>
      <c r="M76" s="1240" t="str">
        <f>TEXT('MYP Assumptions'!F72,"0.00%")&amp;", CPI"</f>
        <v>3.19%, CPI</v>
      </c>
      <c r="O76" s="1527" t="str">
        <f t="shared" si="46"/>
        <v>0.00%</v>
      </c>
      <c r="P76" s="2">
        <f t="shared" si="51"/>
        <v>0</v>
      </c>
      <c r="Q76" s="1240" t="str">
        <f>TEXT('MYP Assumptions'!G72,"0.00%")&amp;", CPI"</f>
        <v>2.86%, CPI</v>
      </c>
      <c r="S76" s="83" t="str">
        <f t="shared" si="47"/>
        <v>0.00%</v>
      </c>
      <c r="T76" s="2">
        <f t="shared" si="52"/>
        <v>0</v>
      </c>
      <c r="U76" s="81" t="str">
        <f>TEXT('MYP Assumptions'!H72,"0.00%")&amp;", CPI"</f>
        <v>2.73%, CPI</v>
      </c>
      <c r="W76" s="83" t="str">
        <f t="shared" si="48"/>
        <v>0.00%</v>
      </c>
      <c r="X76" s="2">
        <f t="shared" si="53"/>
        <v>0</v>
      </c>
      <c r="Y76" s="81" t="str">
        <f>TEXT('MYP Assumptions'!I72,"0.00%")&amp;", CPI"</f>
        <v>2.73%, CPI</v>
      </c>
      <c r="AA76" s="83" t="str">
        <f t="shared" si="49"/>
        <v>0.00%</v>
      </c>
      <c r="AB76" s="2">
        <f t="shared" si="54"/>
        <v>0</v>
      </c>
      <c r="AC76" s="81" t="str">
        <f>TEXT('MYP Assumptions'!J72,"0.00%")&amp;", CPI"</f>
        <v>2.73%, CPI</v>
      </c>
    </row>
    <row r="77" spans="1:29" hidden="1" x14ac:dyDescent="0.25">
      <c r="A77" s="153"/>
      <c r="B77" s="1326"/>
      <c r="D77" s="2">
        <v>0</v>
      </c>
      <c r="E77" s="1249"/>
      <c r="F77" s="2"/>
      <c r="G77" s="1527" t="str">
        <f t="shared" si="56"/>
        <v>0.00%</v>
      </c>
      <c r="H77" s="2">
        <f>ROUND(D77*(LEFT(I77,5)+1),0)</f>
        <v>0</v>
      </c>
      <c r="I77" s="1240" t="str">
        <f>TEXT('MYP Assumptions'!E72,"0.00%")&amp;", CPI"</f>
        <v>3.11%, CPI</v>
      </c>
      <c r="J77" s="66"/>
      <c r="K77" s="1527" t="str">
        <f t="shared" si="45"/>
        <v>0.00%</v>
      </c>
      <c r="L77" s="2">
        <f t="shared" si="50"/>
        <v>0</v>
      </c>
      <c r="M77" s="1240" t="str">
        <f>TEXT('MYP Assumptions'!F72,"0.00%")&amp;", CPI"</f>
        <v>3.19%, CPI</v>
      </c>
      <c r="O77" s="1527" t="str">
        <f t="shared" si="46"/>
        <v>0.00%</v>
      </c>
      <c r="P77" s="2">
        <f t="shared" si="51"/>
        <v>0</v>
      </c>
      <c r="Q77" s="1240" t="str">
        <f>TEXT('MYP Assumptions'!G72,"0.00%")&amp;", CPI"</f>
        <v>2.86%, CPI</v>
      </c>
      <c r="S77" s="83" t="str">
        <f t="shared" si="47"/>
        <v>0.00%</v>
      </c>
      <c r="T77" s="2">
        <f t="shared" si="52"/>
        <v>0</v>
      </c>
      <c r="U77" s="81" t="str">
        <f>TEXT('MYP Assumptions'!H72,"0.00%")&amp;", CPI"</f>
        <v>2.73%, CPI</v>
      </c>
      <c r="W77" s="83" t="str">
        <f t="shared" si="48"/>
        <v>0.00%</v>
      </c>
      <c r="X77" s="2">
        <f t="shared" si="53"/>
        <v>0</v>
      </c>
      <c r="Y77" s="81" t="str">
        <f>TEXT('MYP Assumptions'!I72,"0.00%")&amp;", CPI"</f>
        <v>2.73%, CPI</v>
      </c>
      <c r="AA77" s="83" t="str">
        <f t="shared" si="49"/>
        <v>0.00%</v>
      </c>
      <c r="AB77" s="2">
        <f t="shared" si="54"/>
        <v>0</v>
      </c>
      <c r="AC77" s="81" t="str">
        <f>TEXT('MYP Assumptions'!J72,"0.00%")&amp;", CPI"</f>
        <v>2.73%, CPI</v>
      </c>
    </row>
    <row r="78" spans="1:29" hidden="1" x14ac:dyDescent="0.25">
      <c r="A78" s="153"/>
      <c r="B78" s="1326"/>
      <c r="D78" s="2">
        <v>0</v>
      </c>
      <c r="E78" s="1249"/>
      <c r="F78" s="2"/>
      <c r="G78" s="1527" t="str">
        <f t="shared" si="56"/>
        <v>0.00%</v>
      </c>
      <c r="H78" s="2">
        <f>ROUND(D78*(LEFT(I78,5)+1),0)</f>
        <v>0</v>
      </c>
      <c r="I78" s="1240" t="str">
        <f>TEXT('MYP Assumptions'!E72,"0.00%")&amp;", CPI"</f>
        <v>3.11%, CPI</v>
      </c>
      <c r="J78" s="66"/>
      <c r="K78" s="1527" t="str">
        <f t="shared" si="45"/>
        <v>0.00%</v>
      </c>
      <c r="L78" s="2">
        <f t="shared" si="50"/>
        <v>0</v>
      </c>
      <c r="M78" s="1240" t="str">
        <f>TEXT('MYP Assumptions'!F72,"0.00%")&amp;", CPI"</f>
        <v>3.19%, CPI</v>
      </c>
      <c r="O78" s="1527" t="str">
        <f t="shared" si="46"/>
        <v>0.00%</v>
      </c>
      <c r="P78" s="2">
        <f t="shared" si="51"/>
        <v>0</v>
      </c>
      <c r="Q78" s="1240" t="str">
        <f>TEXT('MYP Assumptions'!G72,"0.00%")&amp;", CPI"</f>
        <v>2.86%, CPI</v>
      </c>
      <c r="S78" s="83" t="str">
        <f t="shared" si="47"/>
        <v>0.00%</v>
      </c>
      <c r="T78" s="2">
        <f t="shared" si="52"/>
        <v>0</v>
      </c>
      <c r="U78" s="81" t="str">
        <f>TEXT('MYP Assumptions'!H72,"0.00%")&amp;", CPI"</f>
        <v>2.73%, CPI</v>
      </c>
      <c r="W78" s="83" t="str">
        <f t="shared" si="48"/>
        <v>0.00%</v>
      </c>
      <c r="X78" s="2">
        <f t="shared" si="53"/>
        <v>0</v>
      </c>
      <c r="Y78" s="81" t="str">
        <f>TEXT('MYP Assumptions'!I72,"0.00%")&amp;", CPI"</f>
        <v>2.73%, CPI</v>
      </c>
      <c r="AA78" s="83" t="str">
        <f t="shared" si="49"/>
        <v>0.00%</v>
      </c>
      <c r="AB78" s="2">
        <f t="shared" si="54"/>
        <v>0</v>
      </c>
      <c r="AC78" s="81" t="str">
        <f>TEXT('MYP Assumptions'!J72,"0.00%")&amp;", CPI"</f>
        <v>2.73%, CPI</v>
      </c>
    </row>
    <row r="79" spans="1:29" hidden="1" x14ac:dyDescent="0.25">
      <c r="A79" s="153"/>
      <c r="B79" s="1326"/>
      <c r="D79" s="2">
        <v>0</v>
      </c>
      <c r="E79" s="1249"/>
      <c r="F79" s="2"/>
      <c r="G79" s="1527" t="str">
        <f t="shared" si="56"/>
        <v>0.00%</v>
      </c>
      <c r="H79" s="2">
        <f>ROUND(D79*(LEFT(I79,5)+1),0)</f>
        <v>0</v>
      </c>
      <c r="I79" s="1240" t="str">
        <f>TEXT('MYP Assumptions'!E72,"0.00%")&amp;", CPI"</f>
        <v>3.11%, CPI</v>
      </c>
      <c r="J79" s="66"/>
      <c r="K79" s="1527" t="str">
        <f t="shared" si="45"/>
        <v>0.00%</v>
      </c>
      <c r="L79" s="2">
        <f t="shared" si="50"/>
        <v>0</v>
      </c>
      <c r="M79" s="1240" t="str">
        <f>TEXT('MYP Assumptions'!F72,"0.00%")&amp;", CPI"</f>
        <v>3.19%, CPI</v>
      </c>
      <c r="O79" s="1527" t="str">
        <f t="shared" si="46"/>
        <v>0.00%</v>
      </c>
      <c r="P79" s="2">
        <f t="shared" si="51"/>
        <v>0</v>
      </c>
      <c r="Q79" s="1240" t="str">
        <f>TEXT('MYP Assumptions'!G72,"0.00%")&amp;", CPI"</f>
        <v>2.86%, CPI</v>
      </c>
      <c r="S79" s="83" t="str">
        <f t="shared" si="47"/>
        <v>0.00%</v>
      </c>
      <c r="T79" s="2">
        <f t="shared" si="52"/>
        <v>0</v>
      </c>
      <c r="U79" s="81" t="str">
        <f>TEXT('MYP Assumptions'!H72,"0.00%")&amp;", CPI"</f>
        <v>2.73%, CPI</v>
      </c>
      <c r="W79" s="83" t="str">
        <f t="shared" si="48"/>
        <v>0.00%</v>
      </c>
      <c r="X79" s="2">
        <f t="shared" si="53"/>
        <v>0</v>
      </c>
      <c r="Y79" s="81" t="str">
        <f>TEXT('MYP Assumptions'!I72,"0.00%")&amp;", CPI"</f>
        <v>2.73%, CPI</v>
      </c>
      <c r="AA79" s="83" t="str">
        <f t="shared" si="49"/>
        <v>0.00%</v>
      </c>
      <c r="AB79" s="2">
        <f t="shared" si="54"/>
        <v>0</v>
      </c>
      <c r="AC79" s="81" t="str">
        <f>TEXT('MYP Assumptions'!J72,"0.00%")&amp;", CPI"</f>
        <v>2.73%, CPI</v>
      </c>
    </row>
    <row r="80" spans="1:29" hidden="1" x14ac:dyDescent="0.25">
      <c r="A80" s="153"/>
      <c r="B80" s="1326"/>
      <c r="D80" s="2">
        <v>0</v>
      </c>
      <c r="E80" s="1249"/>
      <c r="F80" s="2"/>
      <c r="G80" s="1527" t="str">
        <f t="shared" si="56"/>
        <v>0.00%</v>
      </c>
      <c r="H80" s="2">
        <f>ROUND(D80*(LEFT(I80,5)+1),0)</f>
        <v>0</v>
      </c>
      <c r="I80" s="1240" t="str">
        <f>TEXT('MYP Assumptions'!E72,"0.00%")&amp;", CPI"</f>
        <v>3.11%, CPI</v>
      </c>
      <c r="J80" s="66"/>
      <c r="K80" s="1527" t="str">
        <f t="shared" si="45"/>
        <v>0.00%</v>
      </c>
      <c r="L80" s="2">
        <f t="shared" si="50"/>
        <v>0</v>
      </c>
      <c r="M80" s="1240" t="str">
        <f>TEXT('MYP Assumptions'!F72,"0.00%")&amp;", CPI"</f>
        <v>3.19%, CPI</v>
      </c>
      <c r="O80" s="1527" t="str">
        <f t="shared" si="46"/>
        <v>0.00%</v>
      </c>
      <c r="P80" s="2">
        <f t="shared" si="51"/>
        <v>0</v>
      </c>
      <c r="Q80" s="1240" t="str">
        <f>TEXT('MYP Assumptions'!G72,"0.00%")&amp;", CPI"</f>
        <v>2.86%, CPI</v>
      </c>
      <c r="S80" s="83" t="str">
        <f t="shared" si="47"/>
        <v>0.00%</v>
      </c>
      <c r="T80" s="2">
        <f t="shared" si="52"/>
        <v>0</v>
      </c>
      <c r="U80" s="81" t="str">
        <f>TEXT('MYP Assumptions'!H72,"0.00%")&amp;", CPI"</f>
        <v>2.73%, CPI</v>
      </c>
      <c r="W80" s="83" t="str">
        <f t="shared" si="48"/>
        <v>0.00%</v>
      </c>
      <c r="X80" s="2">
        <f t="shared" si="53"/>
        <v>0</v>
      </c>
      <c r="Y80" s="81" t="str">
        <f>TEXT('MYP Assumptions'!I72,"0.00%")&amp;", CPI"</f>
        <v>2.73%, CPI</v>
      </c>
      <c r="AA80" s="83" t="str">
        <f t="shared" si="49"/>
        <v>0.00%</v>
      </c>
      <c r="AB80" s="2">
        <f t="shared" si="54"/>
        <v>0</v>
      </c>
      <c r="AC80" s="81" t="str">
        <f>TEXT('MYP Assumptions'!J72,"0.00%")&amp;", CPI"</f>
        <v>2.73%, CPI</v>
      </c>
    </row>
    <row r="81" spans="1:29" hidden="1" x14ac:dyDescent="0.25">
      <c r="A81" s="153"/>
      <c r="B81" s="1326"/>
      <c r="D81" s="2">
        <f>'RS 3010-ALL'!AF80</f>
        <v>0</v>
      </c>
      <c r="E81" s="1249"/>
      <c r="F81" s="2"/>
      <c r="G81" s="1527" t="str">
        <f t="shared" si="56"/>
        <v>0.00%</v>
      </c>
      <c r="H81" s="2">
        <f>ROUND(D81*(LEFT(I81,5)+1),0)</f>
        <v>0</v>
      </c>
      <c r="I81" s="1240" t="str">
        <f>TEXT('MYP Assumptions'!E72,"0.00%")&amp;", CPI"</f>
        <v>3.11%, CPI</v>
      </c>
      <c r="J81" s="66"/>
      <c r="K81" s="1527" t="str">
        <f t="shared" si="45"/>
        <v>0.00%</v>
      </c>
      <c r="L81" s="2">
        <f t="shared" si="50"/>
        <v>0</v>
      </c>
      <c r="M81" s="1240" t="str">
        <f>TEXT('MYP Assumptions'!F72,"0.00%")&amp;", CPI"</f>
        <v>3.19%, CPI</v>
      </c>
      <c r="O81" s="1527" t="str">
        <f t="shared" si="46"/>
        <v>0.00%</v>
      </c>
      <c r="P81" s="2">
        <f t="shared" si="51"/>
        <v>0</v>
      </c>
      <c r="Q81" s="1240" t="str">
        <f>TEXT('MYP Assumptions'!G72,"0.00%")&amp;", CPI"</f>
        <v>2.86%, CPI</v>
      </c>
      <c r="S81" s="83" t="str">
        <f t="shared" si="47"/>
        <v>0.00%</v>
      </c>
      <c r="T81" s="2">
        <f t="shared" si="52"/>
        <v>0</v>
      </c>
      <c r="U81" s="81" t="str">
        <f>TEXT('MYP Assumptions'!H72,"0.00%")&amp;", CPI"</f>
        <v>2.73%, CPI</v>
      </c>
      <c r="W81" s="83" t="str">
        <f t="shared" si="48"/>
        <v>0.00%</v>
      </c>
      <c r="X81" s="2">
        <f t="shared" si="53"/>
        <v>0</v>
      </c>
      <c r="Y81" s="81" t="str">
        <f>TEXT('MYP Assumptions'!I72,"0.00%")&amp;", CPI"</f>
        <v>2.73%, CPI</v>
      </c>
      <c r="AA81" s="83" t="str">
        <f t="shared" si="49"/>
        <v>0.00%</v>
      </c>
      <c r="AB81" s="2">
        <f t="shared" si="54"/>
        <v>0</v>
      </c>
      <c r="AC81" s="81" t="str">
        <f>TEXT('MYP Assumptions'!J72,"0.00%")&amp;", CPI"</f>
        <v>2.73%, CPI</v>
      </c>
    </row>
    <row r="82" spans="1:29" hidden="1" x14ac:dyDescent="0.25">
      <c r="A82" s="154"/>
      <c r="D82" s="8">
        <f>SUM(D69:D81)</f>
        <v>0</v>
      </c>
      <c r="E82" s="1249"/>
      <c r="F82" s="2"/>
      <c r="G82" s="1527" t="str">
        <f t="shared" si="56"/>
        <v>0.00%</v>
      </c>
      <c r="H82" s="8">
        <f>SUM(H69:H81)</f>
        <v>0</v>
      </c>
      <c r="I82" s="1258"/>
      <c r="J82" s="29"/>
      <c r="K82" s="1527" t="str">
        <f t="shared" si="45"/>
        <v>0.00%</v>
      </c>
      <c r="L82" s="8">
        <f>SUM(L69:L81)</f>
        <v>0</v>
      </c>
      <c r="M82" s="1335"/>
      <c r="O82" s="1527" t="str">
        <f t="shared" si="46"/>
        <v>0.00%</v>
      </c>
      <c r="P82" s="8">
        <f>SUM(P69:P81)</f>
        <v>0</v>
      </c>
      <c r="Q82" s="1335"/>
      <c r="S82" s="83" t="str">
        <f t="shared" si="47"/>
        <v>0.00%</v>
      </c>
      <c r="T82" s="8">
        <f>SUM(T69:T81)</f>
        <v>0</v>
      </c>
      <c r="U82" s="73"/>
      <c r="W82" s="83" t="str">
        <f t="shared" si="48"/>
        <v>0.00%</v>
      </c>
      <c r="X82" s="8">
        <f>SUM(X69:X81)</f>
        <v>0</v>
      </c>
      <c r="Y82" s="73"/>
      <c r="AA82" s="83" t="str">
        <f t="shared" si="49"/>
        <v>0.00%</v>
      </c>
      <c r="AB82" s="8">
        <f>SUM(AB69:AB81)</f>
        <v>0</v>
      </c>
      <c r="AC82" s="73"/>
    </row>
    <row r="83" spans="1:29" hidden="1" x14ac:dyDescent="0.25">
      <c r="A83" s="153"/>
      <c r="B83" s="1323"/>
      <c r="E83" s="1249"/>
      <c r="F83" s="2"/>
      <c r="G83" s="1527"/>
      <c r="H83" s="2"/>
      <c r="I83" s="1257"/>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18000</v>
      </c>
      <c r="E85" s="1249"/>
      <c r="F85" s="2"/>
      <c r="G85" s="1527">
        <f>IF(D85=0,"0.00%",(H85-D85)/D85)</f>
        <v>0</v>
      </c>
      <c r="H85" s="8">
        <f>SUM(H82,H66,H55,H13)</f>
        <v>18000</v>
      </c>
      <c r="I85" s="1882">
        <f>+H85-D85</f>
        <v>0</v>
      </c>
      <c r="J85" s="29"/>
      <c r="K85" s="1527">
        <f>IF(H85=0,"0.00%",(L85-H85)/H85)</f>
        <v>0</v>
      </c>
      <c r="L85" s="8">
        <f>SUM(L82,L66,L55,L13)</f>
        <v>18000</v>
      </c>
      <c r="M85" s="1882">
        <f>+L85-H85</f>
        <v>0</v>
      </c>
      <c r="O85" s="1527">
        <f>IF(L85=0,"0.00%",(P85-L85)/L85)</f>
        <v>0</v>
      </c>
      <c r="P85" s="8">
        <f>SUM(P82,P66,P55,P13)</f>
        <v>18000</v>
      </c>
      <c r="Q85" s="1882">
        <f>+P85-L85</f>
        <v>0</v>
      </c>
      <c r="S85" s="83">
        <f>IF(P85=0,"0.00%",(T85-P85)/P85)</f>
        <v>0.12611111111111112</v>
      </c>
      <c r="T85" s="8">
        <f>SUM(T82,T66,T55,T13)</f>
        <v>20270</v>
      </c>
      <c r="U85" s="73"/>
      <c r="W85" s="83">
        <f>IF(T85=0,"0.00%",(X85-T85)/T85)</f>
        <v>-5.9200789343857917E-4</v>
      </c>
      <c r="X85" s="8">
        <f>SUM(X82,X66,X55,X13)</f>
        <v>20258</v>
      </c>
      <c r="Y85" s="73"/>
      <c r="AA85" s="83">
        <f>IF(X85=0,"0.00%",(AB85-X85)/X85)</f>
        <v>2.9371112646855563E-2</v>
      </c>
      <c r="AB85" s="8">
        <f>SUM(AB82,AB66,AB55,AB13)</f>
        <v>20853</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0</v>
      </c>
      <c r="G87" s="1527" t="str">
        <f>IF(D87=0,"0.00%",(H87-D87)/D87)</f>
        <v>0.00%</v>
      </c>
      <c r="H87" s="3">
        <f>H11-H85</f>
        <v>0</v>
      </c>
      <c r="I87" s="1257"/>
      <c r="J87" s="66"/>
      <c r="K87" s="1527" t="str">
        <f>IF(H87=0,"0.00%",(L87-H87)/H87)</f>
        <v>0.00%</v>
      </c>
      <c r="L87" s="3">
        <f>L11-L85</f>
        <v>0</v>
      </c>
      <c r="M87" s="1335"/>
      <c r="O87" s="1527" t="str">
        <f>IF(L87=0,"0.00%",(P87-L87)/L87)</f>
        <v>0.00%</v>
      </c>
      <c r="P87" s="3">
        <f>P11-P85</f>
        <v>0</v>
      </c>
      <c r="Q87" s="1335"/>
      <c r="S87" s="83" t="str">
        <f>IF(P87=0,"0.00%",(T87-P87)/P87)</f>
        <v>0.00%</v>
      </c>
      <c r="T87" s="3">
        <f>T11-T85</f>
        <v>-1807</v>
      </c>
      <c r="U87" s="73"/>
      <c r="W87" s="83">
        <f>IF(T87=0,"0.00%",(X87-T87)/T87)</f>
        <v>10.210846707249585</v>
      </c>
      <c r="X87" s="3">
        <f>X11-X85</f>
        <v>-20258</v>
      </c>
      <c r="Y87" s="73"/>
      <c r="AA87" s="83">
        <f>IF(X87=0,"0.00%",(AB87-X87)/X87)</f>
        <v>2.9371112646855563E-2</v>
      </c>
      <c r="AB87" s="3">
        <f>AB11-AB85</f>
        <v>-20853</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0</v>
      </c>
      <c r="G89" s="1527" t="str">
        <f>IF(D89=0,"0.00%",(H89-D89)/D89)</f>
        <v>0.00%</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-1807</v>
      </c>
      <c r="U89" s="73"/>
      <c r="W89" s="83">
        <f>IF(T89=0,"0.00%",(X89-T89)/T89)</f>
        <v>11.210846707249585</v>
      </c>
      <c r="X89" s="49">
        <f>X7+X87</f>
        <v>-22065</v>
      </c>
      <c r="Y89" s="73"/>
      <c r="AA89" s="83">
        <f>IF(X89=0,"0.00%",(AB89-X89)/X89)</f>
        <v>0.94507138001359614</v>
      </c>
      <c r="AB89" s="49">
        <f>AB7+AB87</f>
        <v>-42918</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57"/>
      <c r="B95" s="1329"/>
      <c r="C95" s="1330" t="s">
        <v>226</v>
      </c>
      <c r="D95" s="135">
        <f>+D82+D66+D53+D41+D30</f>
        <v>17358</v>
      </c>
      <c r="E95" s="1251"/>
      <c r="G95" s="1541" t="s">
        <v>226</v>
      </c>
      <c r="H95" s="135">
        <f>+H82+H66+H53+H41+H30</f>
        <v>17235</v>
      </c>
      <c r="I95" s="1260"/>
      <c r="J95" s="136"/>
      <c r="K95" s="1541" t="s">
        <v>226</v>
      </c>
      <c r="L95" s="135">
        <f>+L82+L66+L53+L41+L30</f>
        <v>17557</v>
      </c>
      <c r="M95" s="1338"/>
      <c r="O95" s="1541" t="s">
        <v>226</v>
      </c>
      <c r="P95" s="135">
        <f>+P82+P66+P53+P41+P30</f>
        <v>17883</v>
      </c>
      <c r="Q95" s="1338"/>
      <c r="R95" s="140"/>
      <c r="S95" s="134" t="s">
        <v>226</v>
      </c>
      <c r="T95" s="135">
        <f>+T82+T66+T53+T41+T30</f>
        <v>19611</v>
      </c>
      <c r="U95" s="139"/>
      <c r="W95" s="134" t="s">
        <v>226</v>
      </c>
      <c r="X95" s="135">
        <f>+X82+X66+X53+X41+X30</f>
        <v>20258</v>
      </c>
      <c r="Y95" s="139"/>
      <c r="AA95" s="134" t="s">
        <v>226</v>
      </c>
      <c r="AB95" s="135">
        <f>+AB82+AB66+AB53+AB41+AB30</f>
        <v>20853</v>
      </c>
      <c r="AC95" s="139"/>
    </row>
    <row r="96" spans="1:29" s="138" customFormat="1" ht="11.25" x14ac:dyDescent="0.2">
      <c r="A96" s="159"/>
      <c r="B96" s="1329"/>
      <c r="C96" s="1331" t="s">
        <v>227</v>
      </c>
      <c r="D96" s="143">
        <f>+D13</f>
        <v>642</v>
      </c>
      <c r="E96" s="1252"/>
      <c r="F96" s="145"/>
      <c r="G96" s="1546" t="s">
        <v>227</v>
      </c>
      <c r="H96" s="143">
        <f>+H13</f>
        <v>765</v>
      </c>
      <c r="I96" s="1261"/>
      <c r="J96" s="144"/>
      <c r="K96" s="1546" t="s">
        <v>227</v>
      </c>
      <c r="L96" s="143">
        <f>+L13</f>
        <v>443</v>
      </c>
      <c r="M96" s="1338"/>
      <c r="O96" s="1546" t="s">
        <v>227</v>
      </c>
      <c r="P96" s="143">
        <f>+P13</f>
        <v>117</v>
      </c>
      <c r="Q96" s="1251"/>
      <c r="R96" s="140"/>
      <c r="S96" s="142" t="s">
        <v>227</v>
      </c>
      <c r="T96" s="143">
        <f>+T13</f>
        <v>659</v>
      </c>
      <c r="W96" s="142" t="s">
        <v>227</v>
      </c>
      <c r="X96" s="143">
        <f>+X13</f>
        <v>0</v>
      </c>
      <c r="AA96" s="142" t="s">
        <v>227</v>
      </c>
      <c r="AB96" s="143">
        <f>+AB13</f>
        <v>0</v>
      </c>
    </row>
    <row r="97" spans="1:28" s="138" customFormat="1" ht="11.25" x14ac:dyDescent="0.2">
      <c r="A97" s="159"/>
      <c r="B97" s="1329"/>
      <c r="C97" s="1331"/>
      <c r="D97" s="146">
        <f>+D95+D96</f>
        <v>18000</v>
      </c>
      <c r="E97" s="1252"/>
      <c r="F97" s="145"/>
      <c r="G97" s="1546"/>
      <c r="H97" s="146">
        <f>+H95+H96</f>
        <v>18000</v>
      </c>
      <c r="I97" s="1261"/>
      <c r="J97" s="144"/>
      <c r="K97" s="1546"/>
      <c r="L97" s="146">
        <f>+L95+L96</f>
        <v>18000</v>
      </c>
      <c r="M97" s="1251"/>
      <c r="O97" s="1546"/>
      <c r="P97" s="146">
        <f>+P95+P96</f>
        <v>18000</v>
      </c>
      <c r="Q97" s="1251"/>
      <c r="R97" s="140"/>
      <c r="S97" s="142"/>
      <c r="T97" s="146">
        <f>+T95+T96</f>
        <v>20270</v>
      </c>
      <c r="W97" s="142"/>
      <c r="X97" s="146">
        <f>+X95+X96</f>
        <v>20258</v>
      </c>
      <c r="AA97" s="142"/>
      <c r="AB97" s="146">
        <f>+AB95+AB96</f>
        <v>20853</v>
      </c>
    </row>
    <row r="98" spans="1:28" ht="15"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26"/>
  <sheetViews>
    <sheetView zoomScaleNormal="100" workbookViewId="0">
      <pane xSplit="3" ySplit="6" topLeftCell="D7"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hidden="1" customWidth="1"/>
    <col min="6" max="6" width="6" style="39" customWidth="1"/>
    <col min="7" max="7" width="9.42578125" style="1399" bestFit="1" customWidth="1"/>
    <col min="8" max="8" width="13.85546875" style="123" bestFit="1" customWidth="1"/>
    <col min="9" max="9" width="26" style="1254" hidden="1" customWidth="1"/>
    <col min="10" max="10" width="5.7109375" style="59" customWidth="1"/>
    <col min="11" max="11" width="10.5703125" style="1550" customWidth="1"/>
    <col min="12" max="12" width="14" style="124" bestFit="1" customWidth="1"/>
    <col min="13" max="13" width="26" style="1243" hidden="1" customWidth="1"/>
    <col min="14" max="14" width="5.7109375" style="39" customWidth="1"/>
    <col min="15" max="15" width="9.42578125" style="1550" bestFit="1" customWidth="1"/>
    <col min="16" max="16" width="14" style="2" bestFit="1" customWidth="1"/>
    <col min="17" max="17" width="24.85546875" style="124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279</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6230</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D4" s="36"/>
      <c r="E4" s="1254"/>
      <c r="F4" s="51"/>
      <c r="G4" s="1540"/>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-228093.64</v>
      </c>
      <c r="E7" s="1315"/>
      <c r="H7" s="2">
        <f>D89</f>
        <v>-379448</v>
      </c>
      <c r="I7" s="1315"/>
      <c r="J7" s="60"/>
      <c r="L7" s="2">
        <f>H89</f>
        <v>0</v>
      </c>
      <c r="M7" s="1315"/>
      <c r="P7" s="2">
        <f>L89</f>
        <v>0</v>
      </c>
      <c r="Q7" s="1315"/>
      <c r="T7" s="2">
        <f>P89</f>
        <v>0</v>
      </c>
      <c r="U7" s="105"/>
      <c r="X7" s="2">
        <f>T89</f>
        <v>0</v>
      </c>
      <c r="Y7" s="105"/>
      <c r="AB7" s="2">
        <f>X89</f>
        <v>0</v>
      </c>
      <c r="AC7" s="105"/>
    </row>
    <row r="8" spans="1:29" x14ac:dyDescent="0.25">
      <c r="E8" s="1315"/>
      <c r="H8" s="2"/>
      <c r="I8" s="1315"/>
      <c r="L8" s="2"/>
      <c r="M8" s="1315"/>
      <c r="Q8" s="1315"/>
      <c r="U8" s="105"/>
      <c r="Y8" s="105"/>
      <c r="AC8" s="105"/>
    </row>
    <row r="9" spans="1:29" x14ac:dyDescent="0.25">
      <c r="B9" s="1317" t="s">
        <v>52</v>
      </c>
      <c r="C9" s="1243" t="s">
        <v>53</v>
      </c>
      <c r="D9" s="2">
        <v>466785</v>
      </c>
      <c r="E9" s="1315" t="s">
        <v>483</v>
      </c>
      <c r="G9" s="1527">
        <f>IF(D9=0,"0.00%",(H9-D9)/D9)</f>
        <v>-0.18710327024218859</v>
      </c>
      <c r="H9" s="3">
        <f>-H7</f>
        <v>379448</v>
      </c>
      <c r="I9" s="1315" t="s">
        <v>484</v>
      </c>
      <c r="J9" s="61"/>
      <c r="K9" s="1527">
        <f>IF(H9=0,"0.00%",(L9-H9)/H9)</f>
        <v>-1</v>
      </c>
      <c r="L9" s="3">
        <f>L3</f>
        <v>0</v>
      </c>
      <c r="M9" s="1315"/>
      <c r="O9" s="1527" t="str">
        <f>IF(L9=0,"0.00%",(P9-L9)/L9)</f>
        <v>0.00%</v>
      </c>
      <c r="P9" s="3">
        <f>P3</f>
        <v>0</v>
      </c>
      <c r="Q9" s="1315"/>
      <c r="S9" s="83" t="str">
        <f>IF(P9=0,"0.00%",(T9-P9)/P9)</f>
        <v>0.00%</v>
      </c>
      <c r="T9" s="3">
        <f>T3</f>
        <v>0</v>
      </c>
      <c r="U9" s="105"/>
      <c r="W9" s="83" t="str">
        <f>IF(T9=0,"0.00%",(X9-T9)/T9)</f>
        <v>0.00%</v>
      </c>
      <c r="X9" s="3">
        <f>X3</f>
        <v>0</v>
      </c>
      <c r="Y9" s="105"/>
      <c r="AA9" s="83" t="str">
        <f>IF(X9=0,"0.00%",(AB9-X9)/X9)</f>
        <v>0.00%</v>
      </c>
      <c r="AB9" s="3">
        <f>AB3</f>
        <v>0</v>
      </c>
      <c r="AC9" s="105"/>
    </row>
    <row r="10" spans="1:29" x14ac:dyDescent="0.25">
      <c r="C10" s="1243" t="s">
        <v>51</v>
      </c>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466785</v>
      </c>
      <c r="E11" s="1315"/>
      <c r="G11" s="1527">
        <f t="shared" si="0"/>
        <v>-0.18710327024218859</v>
      </c>
      <c r="H11" s="8">
        <f>SUM(H9:H10)</f>
        <v>379448</v>
      </c>
      <c r="I11" s="1315"/>
      <c r="J11" s="62"/>
      <c r="K11" s="1527">
        <f>IF(H11=0,"0.00%",(L11-H11)/H11)</f>
        <v>-1</v>
      </c>
      <c r="L11" s="8">
        <f>SUM(L9:L10)</f>
        <v>0</v>
      </c>
      <c r="M11" s="1315"/>
      <c r="O11" s="1527" t="str">
        <f>IF(L11=0,"0.00%",(P11-L11)/L11)</f>
        <v>0.00%</v>
      </c>
      <c r="P11" s="8">
        <f>SUM(P9:P10)</f>
        <v>0</v>
      </c>
      <c r="Q11" s="1315"/>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C13" s="1325" t="s">
        <v>64</v>
      </c>
      <c r="D13" s="9">
        <f>ROUND(D11-(D11/(1+F13)),0)</f>
        <v>0</v>
      </c>
      <c r="E13" s="1315"/>
      <c r="F13" s="52">
        <v>0</v>
      </c>
      <c r="G13" s="1527" t="str">
        <f t="shared" si="0"/>
        <v>0.00%</v>
      </c>
      <c r="H13" s="9">
        <f>ROUND(H11-(H11/(1+F13)),0)</f>
        <v>0</v>
      </c>
      <c r="I13" s="1315"/>
      <c r="J13" s="64"/>
      <c r="K13" s="1527" t="str">
        <f>IF(H13=0,"0.00%",(L13-H13)/H13)</f>
        <v>0.00%</v>
      </c>
      <c r="L13" s="9">
        <f>ROUND(L11-(L11/(1+F13)),0)</f>
        <v>0</v>
      </c>
      <c r="M13" s="1315"/>
      <c r="O13" s="1527" t="str">
        <f>IF(L13=0,"0.00%",(P13-L13)/L13)</f>
        <v>0.00%</v>
      </c>
      <c r="P13" s="9">
        <f>ROUND(P11-(P11/(1+F13)),0)</f>
        <v>0</v>
      </c>
      <c r="Q13" s="1315"/>
      <c r="S13" s="83" t="str">
        <f>IF(P13=0,"0.00%",(T13-P13)/P13)</f>
        <v>0.00%</v>
      </c>
      <c r="T13" s="77">
        <f>ROUND(T11-(T11/(1+F13)),0)</f>
        <v>0</v>
      </c>
      <c r="U13" s="105"/>
      <c r="W13" s="83" t="str">
        <f>IF(T13=0,"0.00%",(X13-T13)/T13)</f>
        <v>0.00%</v>
      </c>
      <c r="X13" s="77">
        <f>ROUND(X11-(X11/(1+F13)),0)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D11-D13+D7</f>
        <v>238691.36</v>
      </c>
      <c r="E15" s="1315"/>
      <c r="G15" s="1527">
        <f t="shared" si="0"/>
        <v>-1</v>
      </c>
      <c r="H15" s="10">
        <f>H11-H13+H7</f>
        <v>0</v>
      </c>
      <c r="I15" s="1315"/>
      <c r="J15" s="62"/>
      <c r="K15" s="1527" t="str">
        <f>IF(H15=0,"0.00%",(L15-H15)/H15)</f>
        <v>0.00%</v>
      </c>
      <c r="L15" s="10">
        <f>L11-L13+L7</f>
        <v>0</v>
      </c>
      <c r="M15" s="1315"/>
      <c r="O15" s="1527" t="str">
        <f>IF(L15=0,"0.00%",(P15-L15)/L15)</f>
        <v>0.00%</v>
      </c>
      <c r="P15" s="10">
        <f>P11-P13+P7</f>
        <v>0</v>
      </c>
      <c r="Q15" s="1315"/>
      <c r="S15" s="83" t="str">
        <f>IF(P15=0,"0.00%",(T15-P15)/P15)</f>
        <v>0.00%</v>
      </c>
      <c r="T15" s="53">
        <f>T11-T13+T7</f>
        <v>0</v>
      </c>
      <c r="U15" s="105"/>
      <c r="W15" s="83" t="str">
        <f>IF(T15=0,"0.00%",(X15-T15)/T15)</f>
        <v>0.00%</v>
      </c>
      <c r="X15" s="53">
        <f>X11-X13+X7</f>
        <v>0</v>
      </c>
      <c r="Y15" s="105"/>
      <c r="AA15" s="83" t="str">
        <f>IF(X15=0,"0.00%",(AB15-X15)/X15)</f>
        <v>0.00%</v>
      </c>
      <c r="AB15" s="53">
        <f>AB11-AB13+AB7</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v>0.02</v>
      </c>
      <c r="J19" s="29"/>
      <c r="L19" s="14" t="s">
        <v>48</v>
      </c>
      <c r="M19" s="1256">
        <v>0.02</v>
      </c>
      <c r="P19" s="14" t="s">
        <v>48</v>
      </c>
      <c r="Q19" s="1256">
        <v>0.02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t="str">
        <f t="shared" ref="I21:I28" si="3">TEXT($I$19,"0.0%")&amp;" = Est. S &amp; C"</f>
        <v>2.0% = Est. S &amp; C</v>
      </c>
      <c r="J21" s="66"/>
      <c r="K21" s="1527" t="str">
        <f t="shared" ref="K21:K27" si="4">IF(H21=0,"0.00%",(L21-H21)/H21)</f>
        <v>0.00%</v>
      </c>
      <c r="L21" s="2">
        <f>ROUND(H21*(1+M19),0)</f>
        <v>0</v>
      </c>
      <c r="M21" s="1257" t="str">
        <f>TEXT(M19,"0.0%")&amp;" = Est. S &amp; C"</f>
        <v>2.0% = Est. S &amp; C</v>
      </c>
      <c r="O21" s="1527" t="str">
        <f t="shared" ref="O21:O27" si="5">IF(L21=0,"0.00%",(P21-L21)/L21)</f>
        <v>0.00%</v>
      </c>
      <c r="P21" s="2">
        <f>ROUND(L21*(1+Q19),0)</f>
        <v>0</v>
      </c>
      <c r="Q21" s="125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2.0% = Est. S &amp; C</v>
      </c>
      <c r="J22" s="66"/>
      <c r="K22" s="1527" t="str">
        <f t="shared" si="4"/>
        <v>0.00%</v>
      </c>
      <c r="L22" s="2">
        <f>ROUND(H22*(1+M19),0)</f>
        <v>0</v>
      </c>
      <c r="M22" s="1257" t="str">
        <f>TEXT(M19,"0.0%")&amp;" = Est. S &amp; C"</f>
        <v>2.0% = Est. S &amp; C</v>
      </c>
      <c r="O22" s="1527" t="str">
        <f t="shared" si="5"/>
        <v>0.00%</v>
      </c>
      <c r="P22" s="2">
        <f>ROUND(L22*(1+Q19),0)</f>
        <v>0</v>
      </c>
      <c r="Q22" s="125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2.0% = Est. S &amp; C</v>
      </c>
      <c r="J23" s="66"/>
      <c r="K23" s="1527" t="str">
        <f t="shared" si="4"/>
        <v>0.00%</v>
      </c>
      <c r="L23" s="2">
        <f>ROUND(H23*(1+M19),0)</f>
        <v>0</v>
      </c>
      <c r="M23" s="1257" t="str">
        <f>TEXT(M19,"0.0%")&amp;" = Est. S &amp; C"</f>
        <v>2.0% = Est. S &amp; C</v>
      </c>
      <c r="O23" s="1527" t="str">
        <f t="shared" si="5"/>
        <v>0.00%</v>
      </c>
      <c r="P23" s="2">
        <f>ROUND(L23*(1+Q19),0)</f>
        <v>0</v>
      </c>
      <c r="Q23" s="125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2.0% = Est. S &amp; C</v>
      </c>
      <c r="J24" s="66"/>
      <c r="K24" s="1527" t="str">
        <f t="shared" si="4"/>
        <v>0.00%</v>
      </c>
      <c r="L24" s="2">
        <f>ROUND(H24*(1+M19),0)</f>
        <v>0</v>
      </c>
      <c r="M24" s="1257" t="str">
        <f>TEXT(M19,"0.0%")&amp;" = Est. S &amp; C"</f>
        <v>2.0% = Est. S &amp; C</v>
      </c>
      <c r="O24" s="1527" t="str">
        <f t="shared" si="5"/>
        <v>0.00%</v>
      </c>
      <c r="P24" s="2">
        <f>ROUND(L24*(1+Q19),0)</f>
        <v>0</v>
      </c>
      <c r="Q24" s="125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t="str">
        <f t="shared" si="3"/>
        <v>2.0% = Est. S &amp; C</v>
      </c>
      <c r="J25" s="66"/>
      <c r="K25" s="1527" t="str">
        <f t="shared" si="4"/>
        <v>0.00%</v>
      </c>
      <c r="L25" s="2">
        <f>ROUND(H25*(1+M19),0)</f>
        <v>0</v>
      </c>
      <c r="M25" s="1257" t="str">
        <f>TEXT(M19,"0.0%")&amp;" = Est. S &amp; C"</f>
        <v>2.0% = Est. S &amp; C</v>
      </c>
      <c r="O25" s="1527" t="str">
        <f t="shared" si="5"/>
        <v>0.00%</v>
      </c>
      <c r="P25" s="2">
        <f>ROUND(L25*(1+Q19),0)</f>
        <v>0</v>
      </c>
      <c r="Q25" s="125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2.0% = Est. S &amp; C</v>
      </c>
      <c r="J26" s="66"/>
      <c r="K26" s="1527" t="str">
        <f t="shared" si="4"/>
        <v>0.00%</v>
      </c>
      <c r="L26" s="2">
        <f>ROUND(H26*(1+M19),0)</f>
        <v>0</v>
      </c>
      <c r="M26" s="1257" t="str">
        <f>TEXT(M19,"0.0%")&amp;" = Est. S &amp; C"</f>
        <v>2.0% = Est. S &amp; C</v>
      </c>
      <c r="O26" s="1527" t="str">
        <f t="shared" si="5"/>
        <v>0.00%</v>
      </c>
      <c r="P26" s="2">
        <f>ROUND(L26*(1+Q19),0)</f>
        <v>0</v>
      </c>
      <c r="Q26" s="125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2.0% = Est. S &amp; C</v>
      </c>
      <c r="J27" s="66"/>
      <c r="K27" s="1527" t="str">
        <f t="shared" si="4"/>
        <v>0.00%</v>
      </c>
      <c r="L27" s="2">
        <f>ROUND(H27*(1+M19),0)</f>
        <v>0</v>
      </c>
      <c r="M27" s="1257" t="str">
        <f>TEXT(M19,"0.0%")&amp;" = Est. S &amp; C"</f>
        <v>2.0% = Est. S &amp; C</v>
      </c>
      <c r="O27" s="1527" t="str">
        <f t="shared" si="5"/>
        <v>0.00%</v>
      </c>
      <c r="P27" s="2">
        <f>ROUND(L27*(1+Q19),0)</f>
        <v>0</v>
      </c>
      <c r="Q27" s="125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2.0%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hidden="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c r="D33" s="2">
        <v>0</v>
      </c>
      <c r="E33" s="1249"/>
      <c r="F33" s="2"/>
      <c r="G33" s="1527" t="str">
        <f t="shared" ref="G33:G39" si="9">IF(D33=0,"0.00%",(H33-D33)/D33)</f>
        <v>0.00%</v>
      </c>
      <c r="H33" s="2">
        <f t="shared" ref="H33:H39" si="10">ROUND(D33*(1+$I$19),0)</f>
        <v>0</v>
      </c>
      <c r="I33" s="1257" t="str">
        <f t="shared" ref="I33:I39" si="11">TEXT($I$19,"0.0%")&amp;" = Est. S &amp; C"</f>
        <v>2.0% = Est. S &amp; C</v>
      </c>
      <c r="J33" s="66"/>
      <c r="K33" s="1527" t="str">
        <f t="shared" ref="K33:K39" si="12">IF(H33=0,"0.00%",(L33-H33)/H33)</f>
        <v>0.00%</v>
      </c>
      <c r="L33" s="2">
        <f>ROUND(H33*(1+M19),0)</f>
        <v>0</v>
      </c>
      <c r="M33" s="1257"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D34" s="2">
        <v>0</v>
      </c>
      <c r="E34" s="1249"/>
      <c r="F34" s="2"/>
      <c r="G34" s="1527" t="str">
        <f t="shared" si="9"/>
        <v>0.00%</v>
      </c>
      <c r="H34" s="2">
        <f t="shared" si="10"/>
        <v>0</v>
      </c>
      <c r="I34" s="1257" t="str">
        <f t="shared" si="11"/>
        <v>2.0% = Est. S &amp; C</v>
      </c>
      <c r="J34" s="66"/>
      <c r="K34" s="1527" t="str">
        <f t="shared" si="12"/>
        <v>0.00%</v>
      </c>
      <c r="L34" s="2">
        <f>ROUND(H34*(1+M19),0)</f>
        <v>0</v>
      </c>
      <c r="M34" s="1257" t="str">
        <f>TEXT(M19,"0.0%")&amp;" = Est. S &amp; C"</f>
        <v>2.0% = Est. S &amp; C</v>
      </c>
      <c r="O34" s="1527" t="str">
        <f t="shared" si="13"/>
        <v>0.00%</v>
      </c>
      <c r="P34" s="2">
        <f>ROUND(L34*(1+Q19),0)</f>
        <v>0</v>
      </c>
      <c r="Q34" s="125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D35" s="2">
        <v>0</v>
      </c>
      <c r="E35" s="1249"/>
      <c r="F35" s="2"/>
      <c r="G35" s="1527" t="str">
        <f t="shared" si="9"/>
        <v>0.00%</v>
      </c>
      <c r="H35" s="2">
        <f t="shared" si="10"/>
        <v>0</v>
      </c>
      <c r="I35" s="1257" t="str">
        <f t="shared" si="11"/>
        <v>2.0% = Est. S &amp; C</v>
      </c>
      <c r="J35" s="66"/>
      <c r="K35" s="1527" t="str">
        <f t="shared" si="12"/>
        <v>0.00%</v>
      </c>
      <c r="L35" s="2">
        <f>ROUND(H35*(1+M19),0)</f>
        <v>0</v>
      </c>
      <c r="M35" s="1257" t="str">
        <f>TEXT(M19,"0.0%")&amp;" = Est. S &amp; C"</f>
        <v>2.0% = Est. S &amp; C</v>
      </c>
      <c r="O35" s="1527" t="str">
        <f t="shared" si="13"/>
        <v>0.00%</v>
      </c>
      <c r="P35" s="2">
        <f>ROUND(L35*(1+Q19),0)</f>
        <v>0</v>
      </c>
      <c r="Q35" s="125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D36" s="2">
        <v>0</v>
      </c>
      <c r="E36" s="1249"/>
      <c r="F36" s="2"/>
      <c r="G36" s="1527" t="str">
        <f t="shared" si="9"/>
        <v>0.00%</v>
      </c>
      <c r="H36" s="2">
        <f t="shared" si="10"/>
        <v>0</v>
      </c>
      <c r="I36" s="1257" t="str">
        <f t="shared" si="11"/>
        <v>2.0% = Est. S &amp; C</v>
      </c>
      <c r="J36" s="66"/>
      <c r="K36" s="1527" t="str">
        <f t="shared" si="12"/>
        <v>0.00%</v>
      </c>
      <c r="L36" s="2">
        <f>ROUND(H36*(1+M19),0)</f>
        <v>0</v>
      </c>
      <c r="M36" s="1257" t="str">
        <f>TEXT(M19,"0.0%")&amp;" = Est. S &amp; C"</f>
        <v>2.0% = Est. S &amp; C</v>
      </c>
      <c r="O36" s="1527" t="str">
        <f t="shared" si="13"/>
        <v>0.00%</v>
      </c>
      <c r="P36" s="2">
        <f>ROUND(L36*(1+Q19),0)</f>
        <v>0</v>
      </c>
      <c r="Q36" s="125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D37" s="2">
        <v>0</v>
      </c>
      <c r="E37" s="1249"/>
      <c r="F37" s="2"/>
      <c r="G37" s="1527" t="str">
        <f t="shared" si="9"/>
        <v>0.00%</v>
      </c>
      <c r="H37" s="2">
        <f t="shared" si="10"/>
        <v>0</v>
      </c>
      <c r="I37" s="1257" t="str">
        <f t="shared" si="11"/>
        <v>2.0% = Est. S &amp; C</v>
      </c>
      <c r="J37" s="66"/>
      <c r="K37" s="1527" t="str">
        <f t="shared" si="12"/>
        <v>0.00%</v>
      </c>
      <c r="L37" s="2">
        <f>ROUND(H37*(1+M19),0)</f>
        <v>0</v>
      </c>
      <c r="M37" s="1257" t="str">
        <f>TEXT(M19,"0.0%")&amp;" = Est. S &amp; C"</f>
        <v>2.0% = Est. S &amp; C</v>
      </c>
      <c r="O37" s="1527" t="str">
        <f t="shared" si="13"/>
        <v>0.00%</v>
      </c>
      <c r="P37" s="2">
        <f>ROUND(L37*(1+Q19),0)</f>
        <v>0</v>
      </c>
      <c r="Q37" s="125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D38" s="2">
        <v>0</v>
      </c>
      <c r="E38" s="1249"/>
      <c r="F38" s="2"/>
      <c r="G38" s="1527" t="str">
        <f t="shared" si="9"/>
        <v>0.00%</v>
      </c>
      <c r="H38" s="2">
        <f t="shared" si="10"/>
        <v>0</v>
      </c>
      <c r="I38" s="1257" t="str">
        <f t="shared" si="11"/>
        <v>2.0% = Est. S &amp; C</v>
      </c>
      <c r="J38" s="66"/>
      <c r="K38" s="1527" t="str">
        <f t="shared" si="12"/>
        <v>0.00%</v>
      </c>
      <c r="L38" s="2">
        <f>ROUND(H38*(1+M19),0)</f>
        <v>0</v>
      </c>
      <c r="M38" s="1257" t="str">
        <f>TEXT(M19,"0.0%")&amp;" = Est. S &amp; C"</f>
        <v>2.0% = Est. S &amp; C</v>
      </c>
      <c r="O38" s="1527" t="str">
        <f t="shared" si="13"/>
        <v>0.00%</v>
      </c>
      <c r="P38" s="2">
        <f>ROUND(L38*(1+Q19),0)</f>
        <v>0</v>
      </c>
      <c r="Q38" s="125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0"/>
        <v>0</v>
      </c>
      <c r="I39" s="1257" t="str">
        <f t="shared" si="11"/>
        <v>2.0% = Est. S &amp; C</v>
      </c>
      <c r="J39" s="66"/>
      <c r="K39" s="1527" t="str">
        <f t="shared" si="12"/>
        <v>0.00%</v>
      </c>
      <c r="L39" s="2">
        <f>ROUND(H39*(1+M19),0)</f>
        <v>0</v>
      </c>
      <c r="M39" s="1257" t="str">
        <f>TEXT(M19,"0.0%")&amp;" = Est. S &amp; C"</f>
        <v>2.0% = Est. S &amp; C</v>
      </c>
      <c r="O39" s="1527" t="str">
        <f t="shared" si="13"/>
        <v>0.00%</v>
      </c>
      <c r="P39" s="2">
        <f>ROUND(L39*(1+Q19),0)</f>
        <v>0</v>
      </c>
      <c r="Q39" s="125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hidden="1"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3"/>
      <c r="B42" s="1317" t="s">
        <v>28</v>
      </c>
      <c r="E42" s="1249"/>
      <c r="F42" s="2"/>
      <c r="H42" s="2"/>
      <c r="I42" s="1257"/>
      <c r="J42" s="66"/>
      <c r="L42" s="2"/>
      <c r="M42" s="1335"/>
      <c r="Q42" s="1335"/>
      <c r="T42" s="2"/>
      <c r="U42" s="73"/>
      <c r="X42" s="2"/>
      <c r="Y42" s="73"/>
      <c r="AB42" s="2"/>
      <c r="AC42" s="73"/>
    </row>
    <row r="43" spans="1:29" hidden="1" x14ac:dyDescent="0.25">
      <c r="A43" s="155"/>
      <c r="B43" s="1323" t="s">
        <v>27</v>
      </c>
      <c r="E43" s="1249"/>
      <c r="F43" s="2"/>
      <c r="H43" s="2"/>
      <c r="I43" s="1257"/>
      <c r="J43" s="66"/>
      <c r="L43" s="2"/>
      <c r="M43" s="1335"/>
      <c r="Q43" s="1335"/>
      <c r="T43" s="2"/>
      <c r="U43" s="73"/>
      <c r="X43" s="2"/>
      <c r="Y43" s="73"/>
      <c r="AB43" s="2"/>
      <c r="AC43" s="73"/>
    </row>
    <row r="44" spans="1:29" hidden="1" x14ac:dyDescent="0.25">
      <c r="A44" s="153"/>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hidden="1" x14ac:dyDescent="0.25">
      <c r="A45" s="153"/>
      <c r="B45" s="1326" t="s">
        <v>84</v>
      </c>
      <c r="C45" s="1243" t="s">
        <v>77</v>
      </c>
      <c r="D45" s="2">
        <v>0</v>
      </c>
      <c r="E45" s="1240" t="str">
        <f>TEXT('MYP Assumptions'!$D$53,"0.00%")&amp;", PERS rate"</f>
        <v>13.89%, PERS rate</v>
      </c>
      <c r="F45" s="2"/>
      <c r="G45" s="1527" t="str">
        <f t="shared" si="17"/>
        <v>0.00%</v>
      </c>
      <c r="H45" s="2">
        <f>ROUND(H41*LEFT(I45,6),0)</f>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hidden="1" x14ac:dyDescent="0.25">
      <c r="A46" s="153"/>
      <c r="B46" s="1326" t="s">
        <v>85</v>
      </c>
      <c r="C46" s="1243" t="s">
        <v>78</v>
      </c>
      <c r="D46" s="2">
        <v>0</v>
      </c>
      <c r="E46" s="1240" t="str">
        <f>TEXT('MYP Assumptions'!$D$54,"0.00%")&amp;", SS rate"</f>
        <v>6.20%, SS rate</v>
      </c>
      <c r="F46" s="2"/>
      <c r="G46" s="1527" t="str">
        <f t="shared" si="17"/>
        <v>0.00%</v>
      </c>
      <c r="H46" s="2">
        <f>ROUND(H41*LEFT(I46,5),0)</f>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hidden="1" x14ac:dyDescent="0.25">
      <c r="A47" s="153"/>
      <c r="B47" s="1326" t="s">
        <v>86</v>
      </c>
      <c r="C47" s="1243" t="s">
        <v>79</v>
      </c>
      <c r="D47" s="2">
        <v>0</v>
      </c>
      <c r="E47" s="1240" t="str">
        <f>TEXT('MYP Assumptions'!$D$55,"0.00%")&amp;", Medicare rate"</f>
        <v>1.45%, Medicare rate</v>
      </c>
      <c r="F47" s="2"/>
      <c r="G47" s="1527" t="str">
        <f t="shared" si="17"/>
        <v>0.00%</v>
      </c>
      <c r="H47" s="2">
        <f>ROUND((H41+H30)*LEFT(I47,5),0)</f>
        <v>0</v>
      </c>
      <c r="I47" s="1240" t="str">
        <f>TEXT('MYP Assumptions'!E55,"0.00%")&amp;", no rate change"</f>
        <v>1.45%, no rate change</v>
      </c>
      <c r="J47" s="66"/>
      <c r="K47" s="1527" t="str">
        <f t="shared" si="18"/>
        <v>0.00%</v>
      </c>
      <c r="L47" s="2">
        <f>ROUND((L41+L30)*LEFT(M47,5),0)</f>
        <v>0</v>
      </c>
      <c r="M47" s="1240"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hidden="1" x14ac:dyDescent="0.25">
      <c r="A48" s="153"/>
      <c r="B48" s="1326" t="s">
        <v>87</v>
      </c>
      <c r="C48" s="1243" t="s">
        <v>80</v>
      </c>
      <c r="D48" s="2">
        <v>0</v>
      </c>
      <c r="E48" s="1240"/>
      <c r="F48" s="2"/>
      <c r="G48" s="1527" t="str">
        <f t="shared" si="17"/>
        <v>0.00%</v>
      </c>
      <c r="H48" s="2">
        <f>ROUND((D48)*(LEFT(I48,5)+1),0)</f>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hidden="1" x14ac:dyDescent="0.25">
      <c r="A49" s="153"/>
      <c r="B49" s="1326" t="s">
        <v>88</v>
      </c>
      <c r="C49" s="1243" t="s">
        <v>81</v>
      </c>
      <c r="D49" s="2">
        <v>0</v>
      </c>
      <c r="E49" s="1240" t="str">
        <f>TEXT('MYP Assumptions'!$D$56,"0.00%")&amp;", SUI rate"</f>
        <v>0.05%, SUI rate</v>
      </c>
      <c r="F49" s="2"/>
      <c r="G49" s="1527" t="str">
        <f t="shared" si="17"/>
        <v>0.00%</v>
      </c>
      <c r="H49" s="2">
        <f>ROUND((H41+H30)*LEFT(I49,5),0)</f>
        <v>0</v>
      </c>
      <c r="I49" s="1240" t="str">
        <f>TEXT('MYP Assumptions'!E56,"0.00%")&amp;", no rate change"</f>
        <v>0.05%, no rate change</v>
      </c>
      <c r="J49" s="66"/>
      <c r="K49" s="1527" t="str">
        <f t="shared" si="18"/>
        <v>0.00%</v>
      </c>
      <c r="L49" s="2">
        <f>ROUND((L41+L30)*LEFT(M49,5),0)</f>
        <v>0</v>
      </c>
      <c r="M49" s="1240"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hidden="1" x14ac:dyDescent="0.25">
      <c r="A50" s="153"/>
      <c r="B50" s="1326" t="s">
        <v>89</v>
      </c>
      <c r="C50" s="1243" t="s">
        <v>82</v>
      </c>
      <c r="D50" s="2">
        <v>0</v>
      </c>
      <c r="E50" s="1240" t="str">
        <f>TEXT('MYP Assumptions'!$D$57,"0.00%")&amp;", W/C rate"</f>
        <v>1.10%, W/C rate</v>
      </c>
      <c r="F50" s="2"/>
      <c r="G50" s="1527" t="str">
        <f t="shared" si="17"/>
        <v>0.00%</v>
      </c>
      <c r="H50" s="2">
        <f>ROUND((H41+H30)*LEFT(I50,5),0)</f>
        <v>0</v>
      </c>
      <c r="I50" s="1240" t="str">
        <f>TEXT('MYP Assumptions'!E57,"0.00%")&amp;", no rate change"</f>
        <v>1.10%, no rate change</v>
      </c>
      <c r="J50" s="66"/>
      <c r="K50" s="1527" t="str">
        <f t="shared" si="18"/>
        <v>0.00%</v>
      </c>
      <c r="L50" s="2">
        <f>ROUND((L41+L30)*LEFT(M50,5),0)</f>
        <v>0</v>
      </c>
      <c r="M50" s="1240"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hidden="1" x14ac:dyDescent="0.25">
      <c r="A51" s="153"/>
      <c r="B51" s="1326" t="s">
        <v>90</v>
      </c>
      <c r="C51" s="1243" t="s">
        <v>92</v>
      </c>
      <c r="D51" s="2">
        <v>0</v>
      </c>
      <c r="E51" s="1249"/>
      <c r="F51" s="2"/>
      <c r="G51" s="1527" t="str">
        <f t="shared" si="17"/>
        <v>0.00%</v>
      </c>
      <c r="H51" s="2">
        <f>D51</f>
        <v>0</v>
      </c>
      <c r="I51" s="1240" t="s">
        <v>166</v>
      </c>
      <c r="J51" s="66"/>
      <c r="K51" s="1527" t="str">
        <f t="shared" si="18"/>
        <v>0.00%</v>
      </c>
      <c r="L51" s="2">
        <f>H51</f>
        <v>0</v>
      </c>
      <c r="M51" s="1240" t="s">
        <v>166</v>
      </c>
      <c r="O51" s="1527" t="str">
        <f t="shared" si="19"/>
        <v>0.00%</v>
      </c>
      <c r="P51" s="2">
        <f>L51</f>
        <v>0</v>
      </c>
      <c r="Q51" s="1240"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3"/>
      <c r="B52" s="1326" t="s">
        <v>91</v>
      </c>
      <c r="C52" s="1243" t="s">
        <v>93</v>
      </c>
      <c r="D52" s="2">
        <v>0</v>
      </c>
      <c r="E52" s="1249"/>
      <c r="F52" s="2"/>
      <c r="G52" s="1527" t="str">
        <f t="shared" si="17"/>
        <v>0.00%</v>
      </c>
      <c r="H52" s="2">
        <f>D52</f>
        <v>0</v>
      </c>
      <c r="I52" s="1240" t="s">
        <v>166</v>
      </c>
      <c r="J52" s="66"/>
      <c r="K52" s="1527" t="str">
        <f t="shared" si="18"/>
        <v>0.00%</v>
      </c>
      <c r="L52" s="2">
        <f>H52</f>
        <v>0</v>
      </c>
      <c r="M52" s="1240" t="s">
        <v>166</v>
      </c>
      <c r="O52" s="1527" t="str">
        <f t="shared" si="19"/>
        <v>0.00%</v>
      </c>
      <c r="P52" s="2">
        <f>L52</f>
        <v>0</v>
      </c>
      <c r="Q52" s="1240"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4"/>
      <c r="B53" s="1326"/>
      <c r="D53" s="8">
        <f>SUM(D44:D52)</f>
        <v>0</v>
      </c>
      <c r="E53" s="1249"/>
      <c r="F53" s="2"/>
      <c r="G53" s="1527" t="str">
        <f t="shared" si="17"/>
        <v>0.00%</v>
      </c>
      <c r="H53" s="8">
        <f>SUM(H44:H52)</f>
        <v>0</v>
      </c>
      <c r="I53" s="1258"/>
      <c r="J53" s="29"/>
      <c r="K53" s="1527" t="str">
        <f t="shared" si="18"/>
        <v>0.00%</v>
      </c>
      <c r="L53" s="8">
        <f>SUM(L44:L52)</f>
        <v>0</v>
      </c>
      <c r="M53" s="1335"/>
      <c r="O53" s="1527" t="str">
        <f t="shared" si="19"/>
        <v>0.00%</v>
      </c>
      <c r="P53" s="8">
        <f>SUM(P44:P52)</f>
        <v>0</v>
      </c>
      <c r="Q53" s="1335"/>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5"/>
      <c r="B54" s="1326"/>
      <c r="E54" s="1249"/>
      <c r="F54" s="2"/>
      <c r="H54" s="2"/>
      <c r="I54" s="1257"/>
      <c r="J54" s="66"/>
      <c r="L54" s="2"/>
      <c r="M54" s="1335"/>
      <c r="Q54" s="1335"/>
      <c r="T54" s="2"/>
      <c r="U54" s="73"/>
      <c r="X54" s="2"/>
      <c r="Y54" s="73"/>
      <c r="AB54" s="2"/>
      <c r="AC54" s="73"/>
    </row>
    <row r="55" spans="1:29" hidden="1" x14ac:dyDescent="0.25">
      <c r="A55" s="154"/>
      <c r="B55" s="1323" t="s">
        <v>26</v>
      </c>
      <c r="D55" s="8">
        <f>SUM(D53,D41,D30)</f>
        <v>0</v>
      </c>
      <c r="E55" s="1249"/>
      <c r="F55" s="2"/>
      <c r="G55" s="1527" t="str">
        <f>IF(D55=0,"0.00%",(H55-D55)/D55)</f>
        <v>0.00%</v>
      </c>
      <c r="H55" s="8">
        <f>SUM(H53,H41,H30)</f>
        <v>0</v>
      </c>
      <c r="I55" s="1258"/>
      <c r="J55" s="29"/>
      <c r="K55" s="1527" t="str">
        <f>IF(H55=0,"0.00%",(L55-H55)/H55)</f>
        <v>0.00%</v>
      </c>
      <c r="L55" s="8">
        <f>SUM(L53,L41,L30)</f>
        <v>0</v>
      </c>
      <c r="M55" s="1335"/>
      <c r="O55" s="1527" t="str">
        <f>IF(L55=0,"0.00%",(P55-L55)/L55)</f>
        <v>0.00%</v>
      </c>
      <c r="P55" s="8">
        <f>SUM(P53,P41,P30)</f>
        <v>0</v>
      </c>
      <c r="Q55" s="1335"/>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6"/>
      <c r="E56" s="1249"/>
      <c r="F56" s="2"/>
      <c r="H56" s="2"/>
      <c r="I56" s="1257"/>
      <c r="J56" s="66"/>
      <c r="L56" s="2"/>
      <c r="M56" s="1335"/>
      <c r="Q56" s="1335"/>
      <c r="T56" s="2"/>
      <c r="U56" s="73"/>
      <c r="X56" s="2"/>
      <c r="Y56" s="73"/>
      <c r="AB56" s="2"/>
      <c r="AC56" s="73"/>
    </row>
    <row r="57" spans="1:29" hidden="1" x14ac:dyDescent="0.25">
      <c r="A57" s="153"/>
      <c r="E57" s="1249"/>
      <c r="F57" s="2"/>
      <c r="H57" s="2"/>
      <c r="I57" s="1257"/>
      <c r="J57" s="66"/>
      <c r="L57" s="2"/>
      <c r="M57" s="1335"/>
      <c r="Q57" s="1335"/>
      <c r="T57" s="2"/>
      <c r="U57" s="73"/>
      <c r="X57" s="2"/>
      <c r="Y57" s="73"/>
      <c r="AB57" s="2"/>
      <c r="AC57" s="73"/>
    </row>
    <row r="58" spans="1:29" hidden="1" x14ac:dyDescent="0.25">
      <c r="A58" s="156"/>
      <c r="B58" s="1327" t="s">
        <v>25</v>
      </c>
      <c r="C58" s="1259"/>
      <c r="E58" s="1249"/>
      <c r="F58" s="2"/>
      <c r="H58" s="2"/>
      <c r="I58" s="1257"/>
      <c r="J58" s="66"/>
      <c r="L58" s="2"/>
      <c r="M58" s="1335"/>
      <c r="Q58" s="1335"/>
      <c r="T58" s="2"/>
      <c r="U58" s="73"/>
      <c r="X58" s="2"/>
      <c r="Y58" s="73"/>
      <c r="AB58" s="2"/>
      <c r="AC58" s="73"/>
    </row>
    <row r="59" spans="1:29" hidden="1" x14ac:dyDescent="0.25">
      <c r="A59" s="153"/>
      <c r="B59" s="1326"/>
      <c r="D59" s="2">
        <v>0</v>
      </c>
      <c r="E59" s="1249"/>
      <c r="F59" s="2"/>
      <c r="G59" s="1527" t="str">
        <f t="shared" ref="G59:G66" si="23">IF(D59=0,"0.00%",(H59-D59)/D59)</f>
        <v>0.00%</v>
      </c>
      <c r="H59" s="2">
        <f t="shared" ref="H59:H65" si="24">ROUND(D59*(LEFT(I59,5)+1),0)</f>
        <v>0</v>
      </c>
      <c r="I59" s="1240" t="str">
        <f>TEXT('MYP Assumptions'!E72,"0.00%")&amp;", CPI"</f>
        <v>3.11%, CPI</v>
      </c>
      <c r="J59" s="66"/>
      <c r="K59" s="1527" t="str">
        <f t="shared" ref="K59:K66" si="25">IF(H59=0,"0.00%",(L59-H59)/H59)</f>
        <v>0.00%</v>
      </c>
      <c r="L59" s="2">
        <f>ROUND(H59*(LEFT(M59,5)+1),0)</f>
        <v>0</v>
      </c>
      <c r="M59" s="1240" t="str">
        <f>TEXT('MYP Assumptions'!F72,"0.00%")&amp;", CPI"</f>
        <v>3.19%, CPI</v>
      </c>
      <c r="O59" s="1527" t="str">
        <f t="shared" ref="O59:O66" si="26">IF(L59=0,"0.00%",(P59-L59)/L59)</f>
        <v>0.00%</v>
      </c>
      <c r="P59" s="2">
        <f>ROUND(L59*(LEFT(Q59,5)+1),0)</f>
        <v>0</v>
      </c>
      <c r="Q59" s="1240" t="str">
        <f>TEXT('MYP Assumptions'!G72,"0.00%")&amp;", CPI"</f>
        <v>2.86%, CPI</v>
      </c>
      <c r="S59" s="83" t="str">
        <f t="shared" ref="S59:S66" si="27">IF(P59=0,"0.00%",(T59-P59)/P59)</f>
        <v>0.00%</v>
      </c>
      <c r="T59" s="2">
        <f>ROUND(P59*(LEFT(U59,5)+1),0)</f>
        <v>0</v>
      </c>
      <c r="U59" s="81" t="str">
        <f>TEXT('MYP Assumptions'!H72,"0.00%")&amp;", CPI"</f>
        <v>2.73%, CPI</v>
      </c>
      <c r="W59" s="83" t="str">
        <f t="shared" ref="W59:W66" si="28">IF(T59=0,"0.00%",(X59-T59)/T59)</f>
        <v>0.00%</v>
      </c>
      <c r="X59" s="2">
        <f>ROUND(T59*(LEFT(Y59,5)+1),0)</f>
        <v>0</v>
      </c>
      <c r="Y59" s="81" t="str">
        <f>TEXT('MYP Assumptions'!I72,"0.00%")&amp;", CPI"</f>
        <v>2.73%, CPI</v>
      </c>
      <c r="AA59" s="83" t="str">
        <f t="shared" ref="AA59:AA66" si="29">IF(X59=0,"0.00%",(AB59-X59)/X59)</f>
        <v>0.00%</v>
      </c>
      <c r="AB59" s="2">
        <f>ROUND(X59*(LEFT(AC59,5)+1),0)</f>
        <v>0</v>
      </c>
      <c r="AC59" s="81" t="str">
        <f>TEXT('MYP Assumptions'!J72,"0.00%")&amp;", CPI"</f>
        <v>2.73%, CPI</v>
      </c>
    </row>
    <row r="60" spans="1:29" hidden="1" x14ac:dyDescent="0.25">
      <c r="A60" s="153"/>
      <c r="B60" s="1326"/>
      <c r="D60" s="2">
        <v>0</v>
      </c>
      <c r="E60" s="1249"/>
      <c r="F60" s="2"/>
      <c r="G60" s="1527" t="str">
        <f t="shared" si="23"/>
        <v>0.00%</v>
      </c>
      <c r="H60" s="2">
        <f t="shared" si="24"/>
        <v>0</v>
      </c>
      <c r="I60" s="1240" t="str">
        <f>TEXT('MYP Assumptions'!E72,"0.00%")&amp;", CPI"</f>
        <v>3.11%, CPI</v>
      </c>
      <c r="J60" s="66"/>
      <c r="K60" s="1527" t="str">
        <f t="shared" si="25"/>
        <v>0.00%</v>
      </c>
      <c r="L60" s="2">
        <f t="shared" ref="L60:L65" si="30">ROUND(H60*(LEFT(M60,5)+1),0)</f>
        <v>0</v>
      </c>
      <c r="M60" s="1240" t="str">
        <f>TEXT('MYP Assumptions'!F72,"0.00%")&amp;", CPI"</f>
        <v>3.19%, CPI</v>
      </c>
      <c r="O60" s="1527" t="str">
        <f t="shared" si="26"/>
        <v>0.00%</v>
      </c>
      <c r="P60" s="2">
        <f t="shared" ref="P60:P65" si="31">ROUND(L60*(LEFT(Q60,5)+1),0)</f>
        <v>0</v>
      </c>
      <c r="Q60" s="1240" t="str">
        <f>TEXT('MYP Assumptions'!G72,"0.00%")&amp;", CPI"</f>
        <v>2.86%, CPI</v>
      </c>
      <c r="S60" s="83" t="str">
        <f t="shared" si="27"/>
        <v>0.00%</v>
      </c>
      <c r="T60" s="2">
        <f t="shared" ref="T60:T65" si="32">ROUND(P60*(LEFT(U60,5)+1),0)</f>
        <v>0</v>
      </c>
      <c r="U60" s="81" t="str">
        <f>TEXT('MYP Assumptions'!H72,"0.00%")&amp;", CPI"</f>
        <v>2.73%, CPI</v>
      </c>
      <c r="W60" s="83" t="str">
        <f t="shared" si="28"/>
        <v>0.00%</v>
      </c>
      <c r="X60" s="2">
        <f t="shared" ref="X60:X65" si="33">ROUND(T60*(LEFT(Y60,5)+1),0)</f>
        <v>0</v>
      </c>
      <c r="Y60" s="81" t="str">
        <f>TEXT('MYP Assumptions'!I72,"0.00%")&amp;", CPI"</f>
        <v>2.73%, CPI</v>
      </c>
      <c r="AA60" s="83" t="str">
        <f t="shared" si="29"/>
        <v>0.00%</v>
      </c>
      <c r="AB60" s="2">
        <f t="shared" ref="AB60:AB65" si="34">ROUND(X60*(LEFT(AC60,5)+1),0)</f>
        <v>0</v>
      </c>
      <c r="AC60" s="81" t="str">
        <f>TEXT('MYP Assumptions'!J72,"0.00%")&amp;", CPI"</f>
        <v>2.73%, CPI</v>
      </c>
    </row>
    <row r="61" spans="1:29" hidden="1" x14ac:dyDescent="0.25">
      <c r="A61" s="153"/>
      <c r="B61" s="1326"/>
      <c r="D61" s="2">
        <v>0</v>
      </c>
      <c r="E61" s="1249"/>
      <c r="F61" s="2"/>
      <c r="G61" s="1527" t="str">
        <f t="shared" si="23"/>
        <v>0.00%</v>
      </c>
      <c r="H61" s="2">
        <f t="shared" si="24"/>
        <v>0</v>
      </c>
      <c r="I61" s="1240" t="str">
        <f>TEXT('MYP Assumptions'!E72,"0.00%")&amp;", CPI"</f>
        <v>3.11%, CPI</v>
      </c>
      <c r="J61" s="66"/>
      <c r="K61" s="1527" t="str">
        <f t="shared" si="25"/>
        <v>0.00%</v>
      </c>
      <c r="L61" s="2">
        <f t="shared" si="30"/>
        <v>0</v>
      </c>
      <c r="M61" s="1240" t="str">
        <f>TEXT('MYP Assumptions'!F72,"0.00%")&amp;", CPI"</f>
        <v>3.19%, CPI</v>
      </c>
      <c r="O61" s="1527" t="str">
        <f t="shared" si="26"/>
        <v>0.00%</v>
      </c>
      <c r="P61" s="2">
        <f t="shared" si="31"/>
        <v>0</v>
      </c>
      <c r="Q61" s="1240" t="str">
        <f>TEXT('MYP Assumptions'!G72,"0.00%")&amp;", CPI"</f>
        <v>2.86%, CPI</v>
      </c>
      <c r="S61" s="83" t="str">
        <f t="shared" si="27"/>
        <v>0.00%</v>
      </c>
      <c r="T61" s="2">
        <f t="shared" si="32"/>
        <v>0</v>
      </c>
      <c r="U61" s="81" t="str">
        <f>TEXT('MYP Assumptions'!H72,"0.00%")&amp;", CPI"</f>
        <v>2.73%, CPI</v>
      </c>
      <c r="W61" s="83" t="str">
        <f t="shared" si="28"/>
        <v>0.00%</v>
      </c>
      <c r="X61" s="2">
        <f t="shared" si="33"/>
        <v>0</v>
      </c>
      <c r="Y61" s="81" t="str">
        <f>TEXT('MYP Assumptions'!I72,"0.00%")&amp;", CPI"</f>
        <v>2.73%, CPI</v>
      </c>
      <c r="AA61" s="83" t="str">
        <f t="shared" si="29"/>
        <v>0.00%</v>
      </c>
      <c r="AB61" s="2">
        <f t="shared" si="34"/>
        <v>0</v>
      </c>
      <c r="AC61" s="81" t="str">
        <f>TEXT('MYP Assumptions'!J72,"0.00%")&amp;", CPI"</f>
        <v>2.73%, CPI</v>
      </c>
    </row>
    <row r="62" spans="1:29" hidden="1" x14ac:dyDescent="0.25">
      <c r="A62" s="153"/>
      <c r="B62" s="1326"/>
      <c r="D62" s="2">
        <v>0</v>
      </c>
      <c r="E62" s="1249"/>
      <c r="F62" s="2"/>
      <c r="G62" s="1527" t="str">
        <f t="shared" si="23"/>
        <v>0.00%</v>
      </c>
      <c r="H62" s="2">
        <f t="shared" si="24"/>
        <v>0</v>
      </c>
      <c r="I62" s="1240" t="str">
        <f>TEXT('MYP Assumptions'!E72,"0.00%")&amp;", CPI"</f>
        <v>3.11%, CPI</v>
      </c>
      <c r="J62" s="66"/>
      <c r="K62" s="1527" t="str">
        <f t="shared" si="25"/>
        <v>0.00%</v>
      </c>
      <c r="L62" s="2">
        <f t="shared" si="30"/>
        <v>0</v>
      </c>
      <c r="M62" s="1240" t="str">
        <f>TEXT('MYP Assumptions'!F72,"0.00%")&amp;", CPI"</f>
        <v>3.19%, CPI</v>
      </c>
      <c r="O62" s="1527" t="str">
        <f t="shared" si="26"/>
        <v>0.00%</v>
      </c>
      <c r="P62" s="2">
        <f t="shared" si="31"/>
        <v>0</v>
      </c>
      <c r="Q62" s="1240" t="str">
        <f>TEXT('MYP Assumptions'!G72,"0.00%")&amp;", CPI"</f>
        <v>2.86%, CPI</v>
      </c>
      <c r="S62" s="83" t="str">
        <f t="shared" si="27"/>
        <v>0.00%</v>
      </c>
      <c r="T62" s="2">
        <f t="shared" si="32"/>
        <v>0</v>
      </c>
      <c r="U62" s="81" t="str">
        <f>TEXT('MYP Assumptions'!H72,"0.00%")&amp;", CPI"</f>
        <v>2.73%, CPI</v>
      </c>
      <c r="W62" s="83" t="str">
        <f t="shared" si="28"/>
        <v>0.00%</v>
      </c>
      <c r="X62" s="2">
        <f t="shared" si="33"/>
        <v>0</v>
      </c>
      <c r="Y62" s="81" t="str">
        <f>TEXT('MYP Assumptions'!I72,"0.00%")&amp;", CPI"</f>
        <v>2.73%, CPI</v>
      </c>
      <c r="AA62" s="83" t="str">
        <f t="shared" si="29"/>
        <v>0.00%</v>
      </c>
      <c r="AB62" s="2">
        <f t="shared" si="34"/>
        <v>0</v>
      </c>
      <c r="AC62" s="81" t="str">
        <f>TEXT('MYP Assumptions'!J72,"0.00%")&amp;", CPI"</f>
        <v>2.73%, CPI</v>
      </c>
    </row>
    <row r="63" spans="1:29" hidden="1" x14ac:dyDescent="0.25">
      <c r="A63" s="153"/>
      <c r="B63" s="1326"/>
      <c r="D63" s="2">
        <v>0</v>
      </c>
      <c r="E63" s="1249"/>
      <c r="F63" s="2"/>
      <c r="G63" s="1527" t="str">
        <f t="shared" si="23"/>
        <v>0.00%</v>
      </c>
      <c r="H63" s="2">
        <f t="shared" si="24"/>
        <v>0</v>
      </c>
      <c r="I63" s="1240" t="str">
        <f>TEXT('MYP Assumptions'!E72,"0.00%")&amp;", CPI"</f>
        <v>3.11%, CPI</v>
      </c>
      <c r="J63" s="66"/>
      <c r="K63" s="1527" t="str">
        <f t="shared" si="25"/>
        <v>0.00%</v>
      </c>
      <c r="L63" s="2">
        <f t="shared" si="30"/>
        <v>0</v>
      </c>
      <c r="M63" s="1240" t="str">
        <f>TEXT('MYP Assumptions'!F72,"0.00%")&amp;", CPI"</f>
        <v>3.19%, CPI</v>
      </c>
      <c r="O63" s="1527" t="str">
        <f t="shared" si="26"/>
        <v>0.00%</v>
      </c>
      <c r="P63" s="2">
        <f t="shared" si="31"/>
        <v>0</v>
      </c>
      <c r="Q63" s="1240" t="str">
        <f>TEXT('MYP Assumptions'!G72,"0.00%")&amp;", CPI"</f>
        <v>2.86%, CPI</v>
      </c>
      <c r="S63" s="83" t="str">
        <f t="shared" si="27"/>
        <v>0.00%</v>
      </c>
      <c r="T63" s="2">
        <f t="shared" si="32"/>
        <v>0</v>
      </c>
      <c r="U63" s="81" t="str">
        <f>TEXT('MYP Assumptions'!H72,"0.00%")&amp;", CPI"</f>
        <v>2.73%, CPI</v>
      </c>
      <c r="W63" s="83" t="str">
        <f t="shared" si="28"/>
        <v>0.00%</v>
      </c>
      <c r="X63" s="2">
        <f t="shared" si="33"/>
        <v>0</v>
      </c>
      <c r="Y63" s="81" t="str">
        <f>TEXT('MYP Assumptions'!I72,"0.00%")&amp;", CPI"</f>
        <v>2.73%, CPI</v>
      </c>
      <c r="AA63" s="83" t="str">
        <f t="shared" si="29"/>
        <v>0.00%</v>
      </c>
      <c r="AB63" s="2">
        <f t="shared" si="34"/>
        <v>0</v>
      </c>
      <c r="AC63" s="81" t="str">
        <f>TEXT('MYP Assumptions'!J72,"0.00%")&amp;", CPI"</f>
        <v>2.73%, CPI</v>
      </c>
    </row>
    <row r="64" spans="1:29" hidden="1" x14ac:dyDescent="0.25">
      <c r="A64" s="153"/>
      <c r="B64" s="1326"/>
      <c r="D64" s="2">
        <v>0</v>
      </c>
      <c r="E64" s="1249"/>
      <c r="F64" s="2"/>
      <c r="G64" s="1527" t="str">
        <f t="shared" si="23"/>
        <v>0.00%</v>
      </c>
      <c r="H64" s="2">
        <f t="shared" si="24"/>
        <v>0</v>
      </c>
      <c r="I64" s="1240" t="str">
        <f>TEXT('MYP Assumptions'!E72,"0.00%")&amp;", CPI"</f>
        <v>3.11%, CPI</v>
      </c>
      <c r="J64" s="66"/>
      <c r="K64" s="1527" t="str">
        <f t="shared" si="25"/>
        <v>0.00%</v>
      </c>
      <c r="L64" s="2">
        <f t="shared" si="30"/>
        <v>0</v>
      </c>
      <c r="M64" s="1240" t="str">
        <f>TEXT('MYP Assumptions'!F72,"0.00%")&amp;", CPI"</f>
        <v>3.19%, CPI</v>
      </c>
      <c r="O64" s="1527" t="str">
        <f t="shared" si="26"/>
        <v>0.00%</v>
      </c>
      <c r="P64" s="2">
        <f t="shared" si="31"/>
        <v>0</v>
      </c>
      <c r="Q64" s="1240" t="str">
        <f>TEXT('MYP Assumptions'!G72,"0.00%")&amp;", CPI"</f>
        <v>2.86%, CPI</v>
      </c>
      <c r="S64" s="83" t="str">
        <f t="shared" si="27"/>
        <v>0.00%</v>
      </c>
      <c r="T64" s="2">
        <f t="shared" si="32"/>
        <v>0</v>
      </c>
      <c r="U64" s="81" t="str">
        <f>TEXT('MYP Assumptions'!H72,"0.00%")&amp;", CPI"</f>
        <v>2.73%, CPI</v>
      </c>
      <c r="W64" s="83" t="str">
        <f t="shared" si="28"/>
        <v>0.00%</v>
      </c>
      <c r="X64" s="2">
        <f t="shared" si="33"/>
        <v>0</v>
      </c>
      <c r="Y64" s="81" t="str">
        <f>TEXT('MYP Assumptions'!I72,"0.00%")&amp;", CPI"</f>
        <v>2.73%, CPI</v>
      </c>
      <c r="AA64" s="83" t="str">
        <f t="shared" si="29"/>
        <v>0.00%</v>
      </c>
      <c r="AB64" s="2">
        <f t="shared" si="34"/>
        <v>0</v>
      </c>
      <c r="AC64" s="81" t="str">
        <f>TEXT('MYP Assumptions'!J72,"0.00%")&amp;", CPI"</f>
        <v>2.73%, CPI</v>
      </c>
    </row>
    <row r="65" spans="1:29" hidden="1" x14ac:dyDescent="0.25">
      <c r="A65" s="153"/>
      <c r="B65" s="1326"/>
      <c r="C65" s="1328"/>
      <c r="D65" s="2">
        <v>0</v>
      </c>
      <c r="E65" s="1249"/>
      <c r="F65" s="2"/>
      <c r="G65" s="1527" t="str">
        <f t="shared" si="23"/>
        <v>0.00%</v>
      </c>
      <c r="H65" s="2">
        <f t="shared" si="24"/>
        <v>0</v>
      </c>
      <c r="I65" s="1240" t="str">
        <f>TEXT('MYP Assumptions'!E72,"0.00%")&amp;", CPI"</f>
        <v>3.11%, CPI</v>
      </c>
      <c r="J65" s="66"/>
      <c r="K65" s="1527" t="str">
        <f t="shared" si="25"/>
        <v>0.00%</v>
      </c>
      <c r="L65" s="2">
        <f t="shared" si="30"/>
        <v>0</v>
      </c>
      <c r="M65" s="1240" t="str">
        <f>TEXT('MYP Assumptions'!F72,"0.00%")&amp;", CPI"</f>
        <v>3.19%, CPI</v>
      </c>
      <c r="O65" s="1527" t="str">
        <f t="shared" si="26"/>
        <v>0.00%</v>
      </c>
      <c r="P65" s="2">
        <f t="shared" si="31"/>
        <v>0</v>
      </c>
      <c r="Q65" s="1240" t="str">
        <f>TEXT('MYP Assumptions'!G72,"0.00%")&amp;", CPI"</f>
        <v>2.86%, CPI</v>
      </c>
      <c r="S65" s="83" t="str">
        <f t="shared" si="27"/>
        <v>0.00%</v>
      </c>
      <c r="T65" s="2">
        <f t="shared" si="32"/>
        <v>0</v>
      </c>
      <c r="U65" s="81" t="str">
        <f>TEXT('MYP Assumptions'!H72,"0.00%")&amp;", CPI"</f>
        <v>2.73%, CPI</v>
      </c>
      <c r="W65" s="83" t="str">
        <f t="shared" si="28"/>
        <v>0.00%</v>
      </c>
      <c r="X65" s="2">
        <f t="shared" si="33"/>
        <v>0</v>
      </c>
      <c r="Y65" s="81" t="str">
        <f>TEXT('MYP Assumptions'!I72,"0.00%")&amp;", CPI"</f>
        <v>2.73%, CPI</v>
      </c>
      <c r="AA65" s="83" t="str">
        <f t="shared" si="29"/>
        <v>0.00%</v>
      </c>
      <c r="AB65" s="2">
        <f t="shared" si="34"/>
        <v>0</v>
      </c>
      <c r="AC65" s="81" t="str">
        <f>TEXT('MYP Assumptions'!J72,"0.00%")&amp;", CPI"</f>
        <v>2.73%, CPI</v>
      </c>
    </row>
    <row r="66" spans="1:29" hidden="1" x14ac:dyDescent="0.25">
      <c r="A66" s="154"/>
      <c r="B66" s="1243"/>
      <c r="D66" s="8">
        <f>SUM(D59:D65)</f>
        <v>0</v>
      </c>
      <c r="E66" s="1249"/>
      <c r="F66" s="2"/>
      <c r="G66" s="1527" t="str">
        <f t="shared" si="23"/>
        <v>0.00%</v>
      </c>
      <c r="H66" s="8">
        <f>SUM(H59:H65)</f>
        <v>0</v>
      </c>
      <c r="I66" s="1258"/>
      <c r="J66" s="29"/>
      <c r="K66" s="1527" t="str">
        <f t="shared" si="25"/>
        <v>0.00%</v>
      </c>
      <c r="L66" s="8">
        <f>SUM(L59:L65)</f>
        <v>0</v>
      </c>
      <c r="M66" s="1335"/>
      <c r="O66" s="1527" t="str">
        <f t="shared" si="26"/>
        <v>0.00%</v>
      </c>
      <c r="P66" s="8">
        <f>SUM(P59:P65)</f>
        <v>0</v>
      </c>
      <c r="Q66" s="1335"/>
      <c r="S66" s="83" t="str">
        <f t="shared" si="27"/>
        <v>0.00%</v>
      </c>
      <c r="T66" s="8">
        <f>SUM(T59:T65)</f>
        <v>0</v>
      </c>
      <c r="U66" s="73"/>
      <c r="W66" s="83" t="str">
        <f t="shared" si="28"/>
        <v>0.00%</v>
      </c>
      <c r="X66" s="8">
        <f>SUM(X59:X65)</f>
        <v>0</v>
      </c>
      <c r="Y66" s="73"/>
      <c r="AA66" s="83" t="str">
        <f t="shared" si="29"/>
        <v>0.00%</v>
      </c>
      <c r="AB66" s="8">
        <f>SUM(AB59:AB65)</f>
        <v>0</v>
      </c>
      <c r="AC66" s="73"/>
    </row>
    <row r="67" spans="1:29" x14ac:dyDescent="0.25">
      <c r="A67" s="153"/>
      <c r="E67" s="1249"/>
      <c r="F67" s="2"/>
      <c r="H67" s="2"/>
      <c r="I67" s="1257"/>
      <c r="J67" s="66"/>
      <c r="L67" s="2"/>
      <c r="M67" s="1335"/>
      <c r="Q67" s="1335"/>
      <c r="T67" s="2"/>
      <c r="U67" s="73"/>
      <c r="X67" s="2"/>
      <c r="Y67" s="73"/>
      <c r="AB67" s="2"/>
      <c r="AC67" s="73"/>
    </row>
    <row r="68" spans="1:29" s="4" customFormat="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x14ac:dyDescent="0.25">
      <c r="A69" s="153"/>
      <c r="B69" s="1326">
        <v>5814</v>
      </c>
      <c r="C69" s="1243" t="s">
        <v>4</v>
      </c>
      <c r="D69" s="2">
        <v>618139.36</v>
      </c>
      <c r="E69" s="1249" t="s">
        <v>280</v>
      </c>
      <c r="F69" s="2"/>
      <c r="G69" s="1527">
        <f t="shared" ref="G69:G74" si="35">IF(D69=0,"0.00%",(H69-D69)/D69)</f>
        <v>-1</v>
      </c>
      <c r="H69" s="2">
        <v>0</v>
      </c>
      <c r="I69" s="1240"/>
      <c r="J69" s="66"/>
      <c r="K69" s="1527" t="str">
        <f t="shared" ref="K69:K82" si="36">IF(H69=0,"0.00%",(L69-H69)/H69)</f>
        <v>0.00%</v>
      </c>
      <c r="L69" s="2">
        <v>0</v>
      </c>
      <c r="M69" s="1240"/>
      <c r="O69" s="1527" t="str">
        <f t="shared" ref="O69:O82" si="37">IF(L69=0,"0.00%",(P69-L69)/L69)</f>
        <v>0.00%</v>
      </c>
      <c r="P69" s="2">
        <v>0</v>
      </c>
      <c r="Q69" s="1240"/>
      <c r="S69" s="83" t="str">
        <f t="shared" ref="S69:S82" si="38">IF(P69=0,"0.00%",(T69-P69)/P69)</f>
        <v>0.00%</v>
      </c>
      <c r="T69" s="2">
        <f>ROUND(P69*(LEFT(U69,5)+1),0)</f>
        <v>0</v>
      </c>
      <c r="U69" s="81" t="str">
        <f>TEXT('MYP Assumptions'!H72,"0.00%")&amp;", CPI"</f>
        <v>2.73%, CPI</v>
      </c>
      <c r="W69" s="83" t="str">
        <f t="shared" ref="W69:W82" si="39">IF(T69=0,"0.00%",(X69-T69)/T69)</f>
        <v>0.00%</v>
      </c>
      <c r="X69" s="2">
        <f>ROUND(T69*(LEFT(Y69,5)+1),0)</f>
        <v>0</v>
      </c>
      <c r="Y69" s="81" t="str">
        <f>TEXT('MYP Assumptions'!I72,"0.00%")&amp;", CPI"</f>
        <v>2.73%, CPI</v>
      </c>
      <c r="AA69" s="83" t="str">
        <f t="shared" ref="AA69:AA82" si="40">IF(X69=0,"0.00%",(AB69-X69)/X69)</f>
        <v>0.00%</v>
      </c>
      <c r="AB69" s="2">
        <f>ROUND(X69*(LEFT(AC69,5)+1),0)</f>
        <v>0</v>
      </c>
      <c r="AC69" s="81" t="str">
        <f>TEXT('MYP Assumptions'!J72,"0.00%")&amp;", CPI"</f>
        <v>2.73%, CPI</v>
      </c>
    </row>
    <row r="70" spans="1:29" hidden="1" x14ac:dyDescent="0.25">
      <c r="A70" s="153"/>
      <c r="B70" s="1326"/>
      <c r="D70" s="2">
        <v>0</v>
      </c>
      <c r="E70" s="1249"/>
      <c r="F70" s="2"/>
      <c r="G70" s="1527" t="str">
        <f t="shared" si="35"/>
        <v>0.00%</v>
      </c>
      <c r="H70" s="2">
        <f>ROUND(D70*(LEFT(I70,5)+1),0)</f>
        <v>0</v>
      </c>
      <c r="I70" s="1240" t="str">
        <f>TEXT('MYP Assumptions'!E72,"0.00%")&amp;", CPI"</f>
        <v>3.11%, CPI</v>
      </c>
      <c r="J70" s="66"/>
      <c r="K70" s="1527" t="str">
        <f t="shared" si="36"/>
        <v>0.00%</v>
      </c>
      <c r="L70" s="2">
        <f t="shared" ref="L70:L81" si="41">ROUND(H70*(LEFT(M70,5)+1),0)</f>
        <v>0</v>
      </c>
      <c r="M70" s="1240" t="str">
        <f>TEXT('MYP Assumptions'!F72,"0.00%")&amp;", CPI"</f>
        <v>3.19%, CPI</v>
      </c>
      <c r="O70" s="1527" t="str">
        <f t="shared" si="37"/>
        <v>0.00%</v>
      </c>
      <c r="P70" s="2">
        <f t="shared" ref="P70:P81" si="42">ROUND(L70*(LEFT(Q70,5)+1),0)</f>
        <v>0</v>
      </c>
      <c r="Q70" s="1240" t="str">
        <f>TEXT('MYP Assumptions'!G72,"0.00%")&amp;", CPI"</f>
        <v>2.86%, CPI</v>
      </c>
      <c r="S70" s="83" t="str">
        <f t="shared" si="38"/>
        <v>0.00%</v>
      </c>
      <c r="T70" s="2">
        <f t="shared" ref="T70:T81" si="43">ROUND(P70*(LEFT(U70,5)+1),0)</f>
        <v>0</v>
      </c>
      <c r="U70" s="81" t="str">
        <f>TEXT('MYP Assumptions'!H72,"0.00%")&amp;", CPI"</f>
        <v>2.73%, CPI</v>
      </c>
      <c r="W70" s="83" t="str">
        <f t="shared" si="39"/>
        <v>0.00%</v>
      </c>
      <c r="X70" s="2">
        <f t="shared" ref="X70:X81" si="44">ROUND(T70*(LEFT(Y70,5)+1),0)</f>
        <v>0</v>
      </c>
      <c r="Y70" s="81" t="str">
        <f>TEXT('MYP Assumptions'!I72,"0.00%")&amp;", CPI"</f>
        <v>2.73%, CPI</v>
      </c>
      <c r="AA70" s="83" t="str">
        <f t="shared" si="40"/>
        <v>0.00%</v>
      </c>
      <c r="AB70" s="2">
        <f t="shared" ref="AB70:AB81" si="45">ROUND(X70*(LEFT(AC70,5)+1),0)</f>
        <v>0</v>
      </c>
      <c r="AC70" s="81" t="str">
        <f>TEXT('MYP Assumptions'!J72,"0.00%")&amp;", CPI"</f>
        <v>2.73%, CPI</v>
      </c>
    </row>
    <row r="71" spans="1:29" hidden="1" x14ac:dyDescent="0.25">
      <c r="A71" s="153"/>
      <c r="B71" s="1326"/>
      <c r="D71" s="2">
        <v>0</v>
      </c>
      <c r="E71" s="1249"/>
      <c r="F71" s="2"/>
      <c r="G71" s="1527" t="str">
        <f t="shared" si="35"/>
        <v>0.00%</v>
      </c>
      <c r="H71" s="2">
        <f t="shared" ref="H71:H76" si="46">ROUND(D71*(LEFT(I71,5)+1),0)</f>
        <v>0</v>
      </c>
      <c r="I71" s="1240" t="str">
        <f>TEXT('MYP Assumptions'!E72,"0.00%")&amp;", CPI"</f>
        <v>3.11%, CPI</v>
      </c>
      <c r="J71" s="66"/>
      <c r="K71" s="1527" t="str">
        <f t="shared" si="36"/>
        <v>0.00%</v>
      </c>
      <c r="L71" s="2">
        <f t="shared" si="41"/>
        <v>0</v>
      </c>
      <c r="M71" s="1240" t="str">
        <f>TEXT('MYP Assumptions'!F72,"0.00%")&amp;", CPI"</f>
        <v>3.19%, CPI</v>
      </c>
      <c r="O71" s="1527" t="str">
        <f t="shared" si="37"/>
        <v>0.00%</v>
      </c>
      <c r="P71" s="2">
        <f t="shared" si="42"/>
        <v>0</v>
      </c>
      <c r="Q71" s="1240" t="str">
        <f>TEXT('MYP Assumptions'!G72,"0.00%")&amp;", CPI"</f>
        <v>2.86%, CPI</v>
      </c>
      <c r="S71" s="83" t="str">
        <f t="shared" si="38"/>
        <v>0.00%</v>
      </c>
      <c r="T71" s="2">
        <f t="shared" si="43"/>
        <v>0</v>
      </c>
      <c r="U71" s="81" t="str">
        <f>TEXT('MYP Assumptions'!H72,"0.00%")&amp;", CPI"</f>
        <v>2.73%, CPI</v>
      </c>
      <c r="W71" s="83" t="str">
        <f t="shared" si="39"/>
        <v>0.00%</v>
      </c>
      <c r="X71" s="2">
        <f t="shared" si="44"/>
        <v>0</v>
      </c>
      <c r="Y71" s="81" t="str">
        <f>TEXT('MYP Assumptions'!I72,"0.00%")&amp;", CPI"</f>
        <v>2.73%, CPI</v>
      </c>
      <c r="AA71" s="83" t="str">
        <f t="shared" si="40"/>
        <v>0.00%</v>
      </c>
      <c r="AB71" s="2">
        <f t="shared" si="45"/>
        <v>0</v>
      </c>
      <c r="AC71" s="81" t="str">
        <f>TEXT('MYP Assumptions'!J72,"0.00%")&amp;", CPI"</f>
        <v>2.73%, CPI</v>
      </c>
    </row>
    <row r="72" spans="1:29" hidden="1" x14ac:dyDescent="0.25">
      <c r="A72" s="153"/>
      <c r="B72" s="1326"/>
      <c r="D72" s="2">
        <v>0</v>
      </c>
      <c r="E72" s="1249"/>
      <c r="F72" s="2"/>
      <c r="G72" s="1527" t="str">
        <f t="shared" si="35"/>
        <v>0.00%</v>
      </c>
      <c r="H72" s="2">
        <f t="shared" si="46"/>
        <v>0</v>
      </c>
      <c r="I72" s="1240" t="str">
        <f>TEXT('MYP Assumptions'!E72,"0.00%")&amp;", CPI"</f>
        <v>3.11%, CPI</v>
      </c>
      <c r="J72" s="66"/>
      <c r="K72" s="1527" t="str">
        <f t="shared" si="36"/>
        <v>0.00%</v>
      </c>
      <c r="L72" s="2">
        <f t="shared" si="41"/>
        <v>0</v>
      </c>
      <c r="M72" s="1240" t="str">
        <f>TEXT('MYP Assumptions'!F72,"0.00%")&amp;", CPI"</f>
        <v>3.19%, CPI</v>
      </c>
      <c r="O72" s="1527" t="str">
        <f t="shared" si="37"/>
        <v>0.00%</v>
      </c>
      <c r="P72" s="2">
        <f t="shared" si="42"/>
        <v>0</v>
      </c>
      <c r="Q72" s="1240" t="str">
        <f>TEXT('MYP Assumptions'!G72,"0.00%")&amp;", CPI"</f>
        <v>2.86%, CPI</v>
      </c>
      <c r="S72" s="83" t="str">
        <f t="shared" si="38"/>
        <v>0.00%</v>
      </c>
      <c r="T72" s="2">
        <f t="shared" si="43"/>
        <v>0</v>
      </c>
      <c r="U72" s="81" t="str">
        <f>TEXT('MYP Assumptions'!H72,"0.00%")&amp;", CPI"</f>
        <v>2.73%, CPI</v>
      </c>
      <c r="W72" s="83" t="str">
        <f t="shared" si="39"/>
        <v>0.00%</v>
      </c>
      <c r="X72" s="2">
        <f t="shared" si="44"/>
        <v>0</v>
      </c>
      <c r="Y72" s="81" t="str">
        <f>TEXT('MYP Assumptions'!I72,"0.00%")&amp;", CPI"</f>
        <v>2.73%, CPI</v>
      </c>
      <c r="AA72" s="83" t="str">
        <f t="shared" si="40"/>
        <v>0.00%</v>
      </c>
      <c r="AB72" s="2">
        <f t="shared" si="45"/>
        <v>0</v>
      </c>
      <c r="AC72" s="81" t="str">
        <f>TEXT('MYP Assumptions'!J72,"0.00%")&amp;", CPI"</f>
        <v>2.73%, CPI</v>
      </c>
    </row>
    <row r="73" spans="1:29" hidden="1" x14ac:dyDescent="0.25">
      <c r="A73" s="153"/>
      <c r="B73" s="1326"/>
      <c r="D73" s="2">
        <v>0</v>
      </c>
      <c r="E73" s="1249"/>
      <c r="F73" s="2"/>
      <c r="G73" s="1527" t="str">
        <f t="shared" si="35"/>
        <v>0.00%</v>
      </c>
      <c r="H73" s="2">
        <f t="shared" si="46"/>
        <v>0</v>
      </c>
      <c r="I73" s="1240" t="str">
        <f>TEXT('MYP Assumptions'!E72,"0.00%")&amp;", CPI"</f>
        <v>3.11%, CPI</v>
      </c>
      <c r="J73" s="66"/>
      <c r="K73" s="1527" t="str">
        <f t="shared" si="36"/>
        <v>0.00%</v>
      </c>
      <c r="L73" s="2">
        <f t="shared" si="41"/>
        <v>0</v>
      </c>
      <c r="M73" s="1240" t="str">
        <f>TEXT('MYP Assumptions'!F72,"0.00%")&amp;", CPI"</f>
        <v>3.19%, CPI</v>
      </c>
      <c r="O73" s="1527" t="str">
        <f t="shared" si="37"/>
        <v>0.00%</v>
      </c>
      <c r="P73" s="2">
        <f t="shared" si="42"/>
        <v>0</v>
      </c>
      <c r="Q73" s="1240" t="str">
        <f>TEXT('MYP Assumptions'!G72,"0.00%")&amp;", CPI"</f>
        <v>2.86%, CPI</v>
      </c>
      <c r="S73" s="83" t="str">
        <f t="shared" si="38"/>
        <v>0.00%</v>
      </c>
      <c r="T73" s="2">
        <f t="shared" si="43"/>
        <v>0</v>
      </c>
      <c r="U73" s="81" t="str">
        <f>TEXT('MYP Assumptions'!H72,"0.00%")&amp;", CPI"</f>
        <v>2.73%, CPI</v>
      </c>
      <c r="W73" s="83" t="str">
        <f t="shared" si="39"/>
        <v>0.00%</v>
      </c>
      <c r="X73" s="2">
        <f t="shared" si="44"/>
        <v>0</v>
      </c>
      <c r="Y73" s="81" t="str">
        <f>TEXT('MYP Assumptions'!I72,"0.00%")&amp;", CPI"</f>
        <v>2.73%, CPI</v>
      </c>
      <c r="AA73" s="83" t="str">
        <f t="shared" si="40"/>
        <v>0.00%</v>
      </c>
      <c r="AB73" s="2">
        <f t="shared" si="45"/>
        <v>0</v>
      </c>
      <c r="AC73" s="81" t="str">
        <f>TEXT('MYP Assumptions'!J72,"0.00%")&amp;", CPI"</f>
        <v>2.73%, CPI</v>
      </c>
    </row>
    <row r="74" spans="1:29" hidden="1" x14ac:dyDescent="0.25">
      <c r="A74" s="153"/>
      <c r="B74" s="1326"/>
      <c r="D74" s="2">
        <v>0</v>
      </c>
      <c r="E74" s="1249"/>
      <c r="F74" s="2"/>
      <c r="G74" s="1527" t="str">
        <f t="shared" si="35"/>
        <v>0.00%</v>
      </c>
      <c r="H74" s="2">
        <f t="shared" si="46"/>
        <v>0</v>
      </c>
      <c r="I74" s="1240" t="str">
        <f>TEXT('MYP Assumptions'!E72,"0.00%")&amp;", CPI"</f>
        <v>3.11%, CPI</v>
      </c>
      <c r="J74" s="66"/>
      <c r="K74" s="1527" t="str">
        <f t="shared" si="36"/>
        <v>0.00%</v>
      </c>
      <c r="L74" s="2">
        <f t="shared" si="41"/>
        <v>0</v>
      </c>
      <c r="M74" s="1240" t="str">
        <f>TEXT('MYP Assumptions'!F72,"0.00%")&amp;", CPI"</f>
        <v>3.19%, CPI</v>
      </c>
      <c r="O74" s="1527" t="str">
        <f t="shared" si="37"/>
        <v>0.00%</v>
      </c>
      <c r="P74" s="2">
        <f t="shared" si="42"/>
        <v>0</v>
      </c>
      <c r="Q74" s="1240" t="str">
        <f>TEXT('MYP Assumptions'!G72,"0.00%")&amp;", CPI"</f>
        <v>2.86%, CPI</v>
      </c>
      <c r="S74" s="83" t="str">
        <f t="shared" si="38"/>
        <v>0.00%</v>
      </c>
      <c r="T74" s="2">
        <f t="shared" si="43"/>
        <v>0</v>
      </c>
      <c r="U74" s="81" t="str">
        <f>TEXT('MYP Assumptions'!H72,"0.00%")&amp;", CPI"</f>
        <v>2.73%, CPI</v>
      </c>
      <c r="W74" s="83" t="str">
        <f t="shared" si="39"/>
        <v>0.00%</v>
      </c>
      <c r="X74" s="2">
        <f t="shared" si="44"/>
        <v>0</v>
      </c>
      <c r="Y74" s="81" t="str">
        <f>TEXT('MYP Assumptions'!I72,"0.00%")&amp;", CPI"</f>
        <v>2.73%, CPI</v>
      </c>
      <c r="AA74" s="83" t="str">
        <f t="shared" si="40"/>
        <v>0.00%</v>
      </c>
      <c r="AB74" s="2">
        <f t="shared" si="45"/>
        <v>0</v>
      </c>
      <c r="AC74" s="81" t="str">
        <f>TEXT('MYP Assumptions'!J72,"0.00%")&amp;", CPI"</f>
        <v>2.73%, CPI</v>
      </c>
    </row>
    <row r="75" spans="1:29" hidden="1" x14ac:dyDescent="0.25">
      <c r="A75" s="153"/>
      <c r="B75" s="1326"/>
      <c r="D75" s="2">
        <v>0</v>
      </c>
      <c r="E75" s="1249"/>
      <c r="F75" s="2"/>
      <c r="G75" s="1527" t="str">
        <f>IF(D75=0,"0.00%",(H75-D75)/D75)</f>
        <v>0.00%</v>
      </c>
      <c r="H75" s="2">
        <f t="shared" si="46"/>
        <v>0</v>
      </c>
      <c r="I75" s="1240" t="str">
        <f>TEXT('MYP Assumptions'!E72,"0.00%")&amp;", CPI"</f>
        <v>3.11%, CPI</v>
      </c>
      <c r="J75" s="66"/>
      <c r="K75" s="1527" t="str">
        <f t="shared" si="36"/>
        <v>0.00%</v>
      </c>
      <c r="L75" s="2">
        <f t="shared" si="41"/>
        <v>0</v>
      </c>
      <c r="M75" s="1240" t="str">
        <f>TEXT('MYP Assumptions'!F72,"0.00%")&amp;", CPI"</f>
        <v>3.19%, CPI</v>
      </c>
      <c r="O75" s="1527" t="str">
        <f t="shared" si="37"/>
        <v>0.00%</v>
      </c>
      <c r="P75" s="2">
        <f t="shared" si="42"/>
        <v>0</v>
      </c>
      <c r="Q75" s="1240" t="str">
        <f>TEXT('MYP Assumptions'!G72,"0.00%")&amp;", CPI"</f>
        <v>2.86%, CPI</v>
      </c>
      <c r="S75" s="83" t="str">
        <f t="shared" si="38"/>
        <v>0.00%</v>
      </c>
      <c r="T75" s="2">
        <f t="shared" si="43"/>
        <v>0</v>
      </c>
      <c r="U75" s="81" t="str">
        <f>TEXT('MYP Assumptions'!H72,"0.00%")&amp;", CPI"</f>
        <v>2.73%, CPI</v>
      </c>
      <c r="W75" s="83" t="str">
        <f t="shared" si="39"/>
        <v>0.00%</v>
      </c>
      <c r="X75" s="2">
        <f t="shared" si="44"/>
        <v>0</v>
      </c>
      <c r="Y75" s="81" t="str">
        <f>TEXT('MYP Assumptions'!I72,"0.00%")&amp;", CPI"</f>
        <v>2.73%, CPI</v>
      </c>
      <c r="AA75" s="83" t="str">
        <f t="shared" si="40"/>
        <v>0.00%</v>
      </c>
      <c r="AB75" s="2">
        <f t="shared" si="45"/>
        <v>0</v>
      </c>
      <c r="AC75" s="81" t="str">
        <f>TEXT('MYP Assumptions'!J72,"0.00%")&amp;", CPI"</f>
        <v>2.73%, CPI</v>
      </c>
    </row>
    <row r="76" spans="1:29" hidden="1" x14ac:dyDescent="0.25">
      <c r="A76" s="153"/>
      <c r="B76" s="1326"/>
      <c r="D76" s="2">
        <v>0</v>
      </c>
      <c r="E76" s="1249"/>
      <c r="F76" s="2"/>
      <c r="G76" s="1527" t="str">
        <f t="shared" ref="G76:G82" si="47">IF(D76=0,"0.00%",(H76-D76)/D76)</f>
        <v>0.00%</v>
      </c>
      <c r="H76" s="2">
        <f t="shared" si="46"/>
        <v>0</v>
      </c>
      <c r="I76" s="1240" t="str">
        <f>TEXT('MYP Assumptions'!E72,"0.00%")&amp;", CPI"</f>
        <v>3.11%, CPI</v>
      </c>
      <c r="J76" s="66"/>
      <c r="K76" s="1527" t="str">
        <f t="shared" si="36"/>
        <v>0.00%</v>
      </c>
      <c r="L76" s="2">
        <f t="shared" si="41"/>
        <v>0</v>
      </c>
      <c r="M76" s="1240" t="str">
        <f>TEXT('MYP Assumptions'!F72,"0.00%")&amp;", CPI"</f>
        <v>3.19%, CPI</v>
      </c>
      <c r="O76" s="1527" t="str">
        <f t="shared" si="37"/>
        <v>0.00%</v>
      </c>
      <c r="P76" s="2">
        <f t="shared" si="42"/>
        <v>0</v>
      </c>
      <c r="Q76" s="1240" t="str">
        <f>TEXT('MYP Assumptions'!G72,"0.00%")&amp;", CPI"</f>
        <v>2.86%, CPI</v>
      </c>
      <c r="S76" s="83" t="str">
        <f t="shared" si="38"/>
        <v>0.00%</v>
      </c>
      <c r="T76" s="2">
        <f t="shared" si="43"/>
        <v>0</v>
      </c>
      <c r="U76" s="81" t="str">
        <f>TEXT('MYP Assumptions'!H72,"0.00%")&amp;", CPI"</f>
        <v>2.73%, CPI</v>
      </c>
      <c r="W76" s="83" t="str">
        <f t="shared" si="39"/>
        <v>0.00%</v>
      </c>
      <c r="X76" s="2">
        <f t="shared" si="44"/>
        <v>0</v>
      </c>
      <c r="Y76" s="81" t="str">
        <f>TEXT('MYP Assumptions'!I72,"0.00%")&amp;", CPI"</f>
        <v>2.73%, CPI</v>
      </c>
      <c r="AA76" s="83" t="str">
        <f t="shared" si="40"/>
        <v>0.00%</v>
      </c>
      <c r="AB76" s="2">
        <f t="shared" si="45"/>
        <v>0</v>
      </c>
      <c r="AC76" s="81" t="str">
        <f>TEXT('MYP Assumptions'!J72,"0.00%")&amp;", CPI"</f>
        <v>2.73%, CPI</v>
      </c>
    </row>
    <row r="77" spans="1:29" hidden="1" x14ac:dyDescent="0.25">
      <c r="A77" s="153"/>
      <c r="B77" s="1326"/>
      <c r="D77" s="2">
        <v>0</v>
      </c>
      <c r="E77" s="1249"/>
      <c r="F77" s="2"/>
      <c r="G77" s="1527" t="str">
        <f t="shared" si="47"/>
        <v>0.00%</v>
      </c>
      <c r="H77" s="2">
        <f>ROUND(D77*(LEFT(I77,5)+1),0)</f>
        <v>0</v>
      </c>
      <c r="I77" s="1240" t="str">
        <f>TEXT('MYP Assumptions'!E72,"0.00%")&amp;", CPI"</f>
        <v>3.11%, CPI</v>
      </c>
      <c r="J77" s="66"/>
      <c r="K77" s="1527" t="str">
        <f t="shared" si="36"/>
        <v>0.00%</v>
      </c>
      <c r="L77" s="2">
        <f t="shared" si="41"/>
        <v>0</v>
      </c>
      <c r="M77" s="1240" t="str">
        <f>TEXT('MYP Assumptions'!F72,"0.00%")&amp;", CPI"</f>
        <v>3.19%, CPI</v>
      </c>
      <c r="O77" s="1527" t="str">
        <f t="shared" si="37"/>
        <v>0.00%</v>
      </c>
      <c r="P77" s="2">
        <f t="shared" si="42"/>
        <v>0</v>
      </c>
      <c r="Q77" s="1240" t="str">
        <f>TEXT('MYP Assumptions'!G72,"0.00%")&amp;", CPI"</f>
        <v>2.86%, CPI</v>
      </c>
      <c r="S77" s="83" t="str">
        <f t="shared" si="38"/>
        <v>0.00%</v>
      </c>
      <c r="T77" s="2">
        <f t="shared" si="43"/>
        <v>0</v>
      </c>
      <c r="U77" s="81" t="str">
        <f>TEXT('MYP Assumptions'!H72,"0.00%")&amp;", CPI"</f>
        <v>2.73%, CPI</v>
      </c>
      <c r="W77" s="83" t="str">
        <f t="shared" si="39"/>
        <v>0.00%</v>
      </c>
      <c r="X77" s="2">
        <f t="shared" si="44"/>
        <v>0</v>
      </c>
      <c r="Y77" s="81" t="str">
        <f>TEXT('MYP Assumptions'!I72,"0.00%")&amp;", CPI"</f>
        <v>2.73%, CPI</v>
      </c>
      <c r="AA77" s="83" t="str">
        <f t="shared" si="40"/>
        <v>0.00%</v>
      </c>
      <c r="AB77" s="2">
        <f t="shared" si="45"/>
        <v>0</v>
      </c>
      <c r="AC77" s="81" t="str">
        <f>TEXT('MYP Assumptions'!J72,"0.00%")&amp;", CPI"</f>
        <v>2.73%, CPI</v>
      </c>
    </row>
    <row r="78" spans="1:29" hidden="1" x14ac:dyDescent="0.25">
      <c r="A78" s="153"/>
      <c r="B78" s="1326"/>
      <c r="D78" s="2">
        <v>0</v>
      </c>
      <c r="E78" s="1249"/>
      <c r="F78" s="2"/>
      <c r="G78" s="1527" t="str">
        <f t="shared" si="47"/>
        <v>0.00%</v>
      </c>
      <c r="H78" s="2">
        <f>ROUND(D78*(LEFT(I78,5)+1),0)</f>
        <v>0</v>
      </c>
      <c r="I78" s="1240" t="str">
        <f>TEXT('MYP Assumptions'!E72,"0.00%")&amp;", CPI"</f>
        <v>3.11%, CPI</v>
      </c>
      <c r="J78" s="66"/>
      <c r="K78" s="1527" t="str">
        <f t="shared" si="36"/>
        <v>0.00%</v>
      </c>
      <c r="L78" s="2">
        <f t="shared" si="41"/>
        <v>0</v>
      </c>
      <c r="M78" s="1240" t="str">
        <f>TEXT('MYP Assumptions'!F72,"0.00%")&amp;", CPI"</f>
        <v>3.19%, CPI</v>
      </c>
      <c r="O78" s="1527" t="str">
        <f t="shared" si="37"/>
        <v>0.00%</v>
      </c>
      <c r="P78" s="2">
        <f t="shared" si="42"/>
        <v>0</v>
      </c>
      <c r="Q78" s="1240" t="str">
        <f>TEXT('MYP Assumptions'!G72,"0.00%")&amp;", CPI"</f>
        <v>2.86%, CPI</v>
      </c>
      <c r="S78" s="83" t="str">
        <f t="shared" si="38"/>
        <v>0.00%</v>
      </c>
      <c r="T78" s="2">
        <f t="shared" si="43"/>
        <v>0</v>
      </c>
      <c r="U78" s="81" t="str">
        <f>TEXT('MYP Assumptions'!H72,"0.00%")&amp;", CPI"</f>
        <v>2.73%, CPI</v>
      </c>
      <c r="W78" s="83" t="str">
        <f t="shared" si="39"/>
        <v>0.00%</v>
      </c>
      <c r="X78" s="2">
        <f t="shared" si="44"/>
        <v>0</v>
      </c>
      <c r="Y78" s="81" t="str">
        <f>TEXT('MYP Assumptions'!I72,"0.00%")&amp;", CPI"</f>
        <v>2.73%, CPI</v>
      </c>
      <c r="AA78" s="83" t="str">
        <f t="shared" si="40"/>
        <v>0.00%</v>
      </c>
      <c r="AB78" s="2">
        <f t="shared" si="45"/>
        <v>0</v>
      </c>
      <c r="AC78" s="81" t="str">
        <f>TEXT('MYP Assumptions'!J72,"0.00%")&amp;", CPI"</f>
        <v>2.73%, CPI</v>
      </c>
    </row>
    <row r="79" spans="1:29" hidden="1" x14ac:dyDescent="0.25">
      <c r="A79" s="153"/>
      <c r="B79" s="1326"/>
      <c r="D79" s="2">
        <v>0</v>
      </c>
      <c r="E79" s="1249"/>
      <c r="F79" s="2"/>
      <c r="G79" s="1527" t="str">
        <f t="shared" si="47"/>
        <v>0.00%</v>
      </c>
      <c r="H79" s="2">
        <f>ROUND(D79*(LEFT(I79,5)+1),0)</f>
        <v>0</v>
      </c>
      <c r="I79" s="1240" t="str">
        <f>TEXT('MYP Assumptions'!E72,"0.00%")&amp;", CPI"</f>
        <v>3.11%, CPI</v>
      </c>
      <c r="J79" s="66"/>
      <c r="K79" s="1527" t="str">
        <f t="shared" si="36"/>
        <v>0.00%</v>
      </c>
      <c r="L79" s="2">
        <f t="shared" si="41"/>
        <v>0</v>
      </c>
      <c r="M79" s="1240" t="str">
        <f>TEXT('MYP Assumptions'!F72,"0.00%")&amp;", CPI"</f>
        <v>3.19%, CPI</v>
      </c>
      <c r="O79" s="1527" t="str">
        <f t="shared" si="37"/>
        <v>0.00%</v>
      </c>
      <c r="P79" s="2">
        <f t="shared" si="42"/>
        <v>0</v>
      </c>
      <c r="Q79" s="1240" t="str">
        <f>TEXT('MYP Assumptions'!G72,"0.00%")&amp;", CPI"</f>
        <v>2.86%, CPI</v>
      </c>
      <c r="S79" s="83" t="str">
        <f t="shared" si="38"/>
        <v>0.00%</v>
      </c>
      <c r="T79" s="2">
        <f t="shared" si="43"/>
        <v>0</v>
      </c>
      <c r="U79" s="81" t="str">
        <f>TEXT('MYP Assumptions'!H72,"0.00%")&amp;", CPI"</f>
        <v>2.73%, CPI</v>
      </c>
      <c r="W79" s="83" t="str">
        <f t="shared" si="39"/>
        <v>0.00%</v>
      </c>
      <c r="X79" s="2">
        <f t="shared" si="44"/>
        <v>0</v>
      </c>
      <c r="Y79" s="81" t="str">
        <f>TEXT('MYP Assumptions'!I72,"0.00%")&amp;", CPI"</f>
        <v>2.73%, CPI</v>
      </c>
      <c r="AA79" s="83" t="str">
        <f t="shared" si="40"/>
        <v>0.00%</v>
      </c>
      <c r="AB79" s="2">
        <f t="shared" si="45"/>
        <v>0</v>
      </c>
      <c r="AC79" s="81" t="str">
        <f>TEXT('MYP Assumptions'!J72,"0.00%")&amp;", CPI"</f>
        <v>2.73%, CPI</v>
      </c>
    </row>
    <row r="80" spans="1:29" hidden="1" x14ac:dyDescent="0.25">
      <c r="A80" s="153"/>
      <c r="B80" s="1326"/>
      <c r="D80" s="2">
        <v>0</v>
      </c>
      <c r="E80" s="1249"/>
      <c r="F80" s="2"/>
      <c r="G80" s="1527" t="str">
        <f t="shared" si="47"/>
        <v>0.00%</v>
      </c>
      <c r="H80" s="2">
        <f>ROUND(D80*(LEFT(I80,5)+1),0)</f>
        <v>0</v>
      </c>
      <c r="I80" s="1240" t="str">
        <f>TEXT('MYP Assumptions'!E72,"0.00%")&amp;", CPI"</f>
        <v>3.11%, CPI</v>
      </c>
      <c r="J80" s="66"/>
      <c r="K80" s="1527" t="str">
        <f t="shared" si="36"/>
        <v>0.00%</v>
      </c>
      <c r="L80" s="2">
        <f t="shared" si="41"/>
        <v>0</v>
      </c>
      <c r="M80" s="1240" t="str">
        <f>TEXT('MYP Assumptions'!F72,"0.00%")&amp;", CPI"</f>
        <v>3.19%, CPI</v>
      </c>
      <c r="O80" s="1527" t="str">
        <f t="shared" si="37"/>
        <v>0.00%</v>
      </c>
      <c r="P80" s="2">
        <f t="shared" si="42"/>
        <v>0</v>
      </c>
      <c r="Q80" s="1240" t="str">
        <f>TEXT('MYP Assumptions'!G72,"0.00%")&amp;", CPI"</f>
        <v>2.86%, CPI</v>
      </c>
      <c r="S80" s="83" t="str">
        <f t="shared" si="38"/>
        <v>0.00%</v>
      </c>
      <c r="T80" s="2">
        <f t="shared" si="43"/>
        <v>0</v>
      </c>
      <c r="U80" s="81" t="str">
        <f>TEXT('MYP Assumptions'!H72,"0.00%")&amp;", CPI"</f>
        <v>2.73%, CPI</v>
      </c>
      <c r="W80" s="83" t="str">
        <f t="shared" si="39"/>
        <v>0.00%</v>
      </c>
      <c r="X80" s="2">
        <f t="shared" si="44"/>
        <v>0</v>
      </c>
      <c r="Y80" s="81" t="str">
        <f>TEXT('MYP Assumptions'!I72,"0.00%")&amp;", CPI"</f>
        <v>2.73%, CPI</v>
      </c>
      <c r="AA80" s="83" t="str">
        <f t="shared" si="40"/>
        <v>0.00%</v>
      </c>
      <c r="AB80" s="2">
        <f t="shared" si="45"/>
        <v>0</v>
      </c>
      <c r="AC80" s="81" t="str">
        <f>TEXT('MYP Assumptions'!J72,"0.00%")&amp;", CPI"</f>
        <v>2.73%, CPI</v>
      </c>
    </row>
    <row r="81" spans="1:29" hidden="1" x14ac:dyDescent="0.25">
      <c r="A81" s="153"/>
      <c r="B81" s="1326"/>
      <c r="D81" s="2">
        <f>'RS 3010-ALL'!AF80</f>
        <v>0</v>
      </c>
      <c r="E81" s="1249"/>
      <c r="F81" s="2"/>
      <c r="G81" s="1527" t="str">
        <f t="shared" si="47"/>
        <v>0.00%</v>
      </c>
      <c r="H81" s="2">
        <f>ROUND(D81*(LEFT(I81,5)+1),0)</f>
        <v>0</v>
      </c>
      <c r="I81" s="1240" t="str">
        <f>TEXT('MYP Assumptions'!E72,"0.00%")&amp;", CPI"</f>
        <v>3.11%, CPI</v>
      </c>
      <c r="J81" s="66"/>
      <c r="K81" s="1527" t="str">
        <f t="shared" si="36"/>
        <v>0.00%</v>
      </c>
      <c r="L81" s="2">
        <f t="shared" si="41"/>
        <v>0</v>
      </c>
      <c r="M81" s="1240" t="str">
        <f>TEXT('MYP Assumptions'!F72,"0.00%")&amp;", CPI"</f>
        <v>3.19%, CPI</v>
      </c>
      <c r="O81" s="1527" t="str">
        <f t="shared" si="37"/>
        <v>0.00%</v>
      </c>
      <c r="P81" s="2">
        <f t="shared" si="42"/>
        <v>0</v>
      </c>
      <c r="Q81" s="1240" t="str">
        <f>TEXT('MYP Assumptions'!G72,"0.00%")&amp;", CPI"</f>
        <v>2.86%, CPI</v>
      </c>
      <c r="S81" s="83" t="str">
        <f t="shared" si="38"/>
        <v>0.00%</v>
      </c>
      <c r="T81" s="2">
        <f t="shared" si="43"/>
        <v>0</v>
      </c>
      <c r="U81" s="81" t="str">
        <f>TEXT('MYP Assumptions'!H72,"0.00%")&amp;", CPI"</f>
        <v>2.73%, CPI</v>
      </c>
      <c r="W81" s="83" t="str">
        <f t="shared" si="39"/>
        <v>0.00%</v>
      </c>
      <c r="X81" s="2">
        <f t="shared" si="44"/>
        <v>0</v>
      </c>
      <c r="Y81" s="81" t="str">
        <f>TEXT('MYP Assumptions'!I72,"0.00%")&amp;", CPI"</f>
        <v>2.73%, CPI</v>
      </c>
      <c r="AA81" s="83" t="str">
        <f t="shared" si="40"/>
        <v>0.00%</v>
      </c>
      <c r="AB81" s="2">
        <f t="shared" si="45"/>
        <v>0</v>
      </c>
      <c r="AC81" s="81" t="str">
        <f>TEXT('MYP Assumptions'!J72,"0.00%")&amp;", CPI"</f>
        <v>2.73%, CPI</v>
      </c>
    </row>
    <row r="82" spans="1:29" x14ac:dyDescent="0.25">
      <c r="A82" s="154"/>
      <c r="D82" s="8">
        <f>SUM(D69:D81)</f>
        <v>618139.36</v>
      </c>
      <c r="E82" s="1249"/>
      <c r="F82" s="2"/>
      <c r="G82" s="1527">
        <f t="shared" si="47"/>
        <v>-1</v>
      </c>
      <c r="H82" s="8">
        <f>SUM(H69:H81)</f>
        <v>0</v>
      </c>
      <c r="I82" s="1258"/>
      <c r="J82" s="29"/>
      <c r="K82" s="1527" t="str">
        <f t="shared" si="36"/>
        <v>0.00%</v>
      </c>
      <c r="L82" s="8">
        <f>SUM(L69:L81)</f>
        <v>0</v>
      </c>
      <c r="M82" s="1335"/>
      <c r="O82" s="1527" t="str">
        <f t="shared" si="37"/>
        <v>0.00%</v>
      </c>
      <c r="P82" s="8">
        <f>SUM(P69:P81)</f>
        <v>0</v>
      </c>
      <c r="Q82" s="1335"/>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618139.36</v>
      </c>
      <c r="E85" s="1249"/>
      <c r="F85" s="2"/>
      <c r="G85" s="1527">
        <f>IF(D85=0,"0.00%",(H85-D85)/D85)</f>
        <v>-1</v>
      </c>
      <c r="H85" s="8">
        <f>SUM(H82,H66,H55,H13)</f>
        <v>0</v>
      </c>
      <c r="I85" s="1258"/>
      <c r="J85" s="29"/>
      <c r="K85" s="1527" t="str">
        <f>IF(H85=0,"0.00%",(L85-H85)/H85)</f>
        <v>0.00%</v>
      </c>
      <c r="L85" s="8">
        <f>SUM(L82,L66,L55,L13)</f>
        <v>0</v>
      </c>
      <c r="M85" s="1335"/>
      <c r="O85" s="1527" t="str">
        <f>IF(L85=0,"0.00%",(P85-L85)/L85)</f>
        <v>0.00%</v>
      </c>
      <c r="P85" s="8">
        <f>SUM(P82,P66,P55,P13)</f>
        <v>0</v>
      </c>
      <c r="Q85" s="1335"/>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-151354.35999999999</v>
      </c>
      <c r="G87" s="1527">
        <f>IF(D87=0,"0.00%",(H87-D87)/D87)</f>
        <v>-3.5070173069345345</v>
      </c>
      <c r="H87" s="3">
        <f>H11-H85</f>
        <v>379448</v>
      </c>
      <c r="I87" s="1257"/>
      <c r="J87" s="66"/>
      <c r="K87" s="1527">
        <f>IF(H87=0,"0.00%",(L87-H87)/H87)</f>
        <v>-1</v>
      </c>
      <c r="L87" s="3">
        <f>L11-L85</f>
        <v>0</v>
      </c>
      <c r="M87" s="1335"/>
      <c r="O87" s="1527" t="str">
        <f>IF(L87=0,"0.00%",(P87-L87)/L87)</f>
        <v>0.00%</v>
      </c>
      <c r="P87" s="3">
        <f>P11-P85</f>
        <v>0</v>
      </c>
      <c r="Q87" s="1335"/>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-379448</v>
      </c>
      <c r="G89" s="1527">
        <f>IF(D89=0,"0.00%",(H89-D89)/D89)</f>
        <v>-1</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57"/>
      <c r="B95" s="1329"/>
      <c r="C95" s="1330" t="s">
        <v>226</v>
      </c>
      <c r="D95" s="135">
        <f>+D82+D66+D53+D41+D30</f>
        <v>618139.36</v>
      </c>
      <c r="E95" s="1251"/>
      <c r="G95" s="1541" t="s">
        <v>226</v>
      </c>
      <c r="H95" s="135">
        <f>+H82+H66+H53+H41+H30</f>
        <v>0</v>
      </c>
      <c r="I95" s="1260"/>
      <c r="J95" s="136"/>
      <c r="K95" s="1541" t="s">
        <v>226</v>
      </c>
      <c r="L95" s="135">
        <f>+L82+L66+L53+L41+L30</f>
        <v>0</v>
      </c>
      <c r="M95" s="1338"/>
      <c r="O95" s="1541" t="s">
        <v>226</v>
      </c>
      <c r="P95" s="135">
        <f>+P82+P66+P53+P41+P30</f>
        <v>0</v>
      </c>
      <c r="Q95" s="1338"/>
      <c r="R95" s="140"/>
      <c r="S95" s="134" t="s">
        <v>226</v>
      </c>
      <c r="T95" s="135">
        <f>+T82+T66+T53+T41+T30</f>
        <v>0</v>
      </c>
      <c r="U95" s="139"/>
      <c r="W95" s="134" t="s">
        <v>226</v>
      </c>
      <c r="X95" s="135">
        <f>+X82+X66+X53+X41+X30</f>
        <v>0</v>
      </c>
      <c r="Y95" s="139"/>
      <c r="AA95" s="134" t="s">
        <v>226</v>
      </c>
      <c r="AB95" s="135">
        <f>+AB82+AB66+AB53+AB41+AB30</f>
        <v>0</v>
      </c>
      <c r="AC95" s="139"/>
    </row>
    <row r="96" spans="1:29" s="138" customFormat="1" ht="11.25" x14ac:dyDescent="0.2">
      <c r="A96" s="159"/>
      <c r="B96" s="1329"/>
      <c r="C96" s="1331" t="s">
        <v>227</v>
      </c>
      <c r="D96" s="143">
        <f>+D13</f>
        <v>0</v>
      </c>
      <c r="E96" s="1252"/>
      <c r="F96" s="145"/>
      <c r="G96" s="1546" t="s">
        <v>227</v>
      </c>
      <c r="H96" s="143">
        <f>+H13</f>
        <v>0</v>
      </c>
      <c r="I96" s="1261"/>
      <c r="J96" s="144"/>
      <c r="K96" s="1546" t="s">
        <v>227</v>
      </c>
      <c r="L96" s="143">
        <f>+L13</f>
        <v>0</v>
      </c>
      <c r="M96" s="1338"/>
      <c r="O96" s="1546" t="s">
        <v>227</v>
      </c>
      <c r="P96" s="143">
        <f>+P13</f>
        <v>0</v>
      </c>
      <c r="Q96" s="1251"/>
      <c r="R96" s="140"/>
      <c r="S96" s="142" t="s">
        <v>227</v>
      </c>
      <c r="T96" s="143">
        <f>+T13</f>
        <v>0</v>
      </c>
      <c r="W96" s="142" t="s">
        <v>227</v>
      </c>
      <c r="X96" s="143">
        <f>+X13</f>
        <v>0</v>
      </c>
      <c r="AA96" s="142" t="s">
        <v>227</v>
      </c>
      <c r="AB96" s="143">
        <f>+AB13</f>
        <v>0</v>
      </c>
    </row>
    <row r="97" spans="1:28" s="138" customFormat="1" ht="11.25" x14ac:dyDescent="0.2">
      <c r="A97" s="159"/>
      <c r="B97" s="1329"/>
      <c r="C97" s="1331"/>
      <c r="D97" s="146">
        <f>+D95+D96</f>
        <v>618139.36</v>
      </c>
      <c r="E97" s="1252"/>
      <c r="F97" s="145"/>
      <c r="G97" s="1546"/>
      <c r="H97" s="146">
        <f>+H95+H96</f>
        <v>0</v>
      </c>
      <c r="I97" s="1261"/>
      <c r="J97" s="144"/>
      <c r="K97" s="1546"/>
      <c r="L97" s="146">
        <f>+L95+L96</f>
        <v>0</v>
      </c>
      <c r="M97" s="1251"/>
      <c r="O97" s="1546"/>
      <c r="P97" s="146">
        <f>+P95+P96</f>
        <v>0</v>
      </c>
      <c r="Q97" s="1251"/>
      <c r="R97" s="140"/>
      <c r="S97" s="142"/>
      <c r="T97" s="146">
        <f>+T95+T96</f>
        <v>0</v>
      </c>
      <c r="W97" s="142"/>
      <c r="X97" s="146">
        <f>+X95+X96</f>
        <v>0</v>
      </c>
      <c r="AA97" s="142"/>
      <c r="AB97" s="146">
        <f>+AB95+AB96</f>
        <v>0</v>
      </c>
    </row>
    <row r="98" spans="1:28" ht="15"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73" orientation="portrait" r:id="rId1"/>
  <headerFooter>
    <oddHeader>&amp;L&amp;F</oddHead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26"/>
  <sheetViews>
    <sheetView zoomScaleNormal="100" workbookViewId="0">
      <pane xSplit="3" ySplit="6" topLeftCell="D7"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hidden="1" customWidth="1"/>
    <col min="6" max="6" width="6" style="39" customWidth="1"/>
    <col min="7" max="7" width="9.42578125" style="1399" bestFit="1" customWidth="1"/>
    <col min="8" max="8" width="13.85546875" style="123" bestFit="1" customWidth="1"/>
    <col min="9" max="9" width="26" style="1254" hidden="1" customWidth="1"/>
    <col min="10" max="10" width="5.7109375" style="59" customWidth="1"/>
    <col min="11" max="11" width="10.5703125" style="1550" customWidth="1"/>
    <col min="12" max="12" width="14" style="124" bestFit="1" customWidth="1"/>
    <col min="13" max="13" width="26" style="1243" hidden="1" customWidth="1"/>
    <col min="14" max="14" width="5.7109375" style="39" customWidth="1"/>
    <col min="15" max="15" width="9.42578125" style="1550" bestFit="1" customWidth="1"/>
    <col min="16" max="16" width="14" style="2" bestFit="1" customWidth="1"/>
    <col min="17" max="17" width="24.85546875" style="124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281</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7810</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-190310.3</v>
      </c>
      <c r="E7" s="1315"/>
      <c r="H7" s="2">
        <f>D89</f>
        <v>0</v>
      </c>
      <c r="I7" s="1315"/>
      <c r="J7" s="60"/>
      <c r="L7" s="2">
        <f>H89</f>
        <v>0</v>
      </c>
      <c r="M7" s="1315"/>
      <c r="P7" s="2">
        <f>L89</f>
        <v>0</v>
      </c>
      <c r="Q7" s="1315"/>
      <c r="T7" s="2">
        <f>P89</f>
        <v>0</v>
      </c>
      <c r="U7" s="105"/>
      <c r="X7" s="2">
        <f>T89</f>
        <v>0</v>
      </c>
      <c r="Y7" s="105"/>
      <c r="AB7" s="2">
        <f>X89</f>
        <v>0</v>
      </c>
      <c r="AC7" s="105"/>
    </row>
    <row r="8" spans="1:29" x14ac:dyDescent="0.25">
      <c r="E8" s="1315"/>
      <c r="H8" s="2"/>
      <c r="I8" s="1315"/>
      <c r="L8" s="2"/>
      <c r="M8" s="1315"/>
      <c r="Q8" s="1315"/>
      <c r="U8" s="105"/>
      <c r="Y8" s="105"/>
      <c r="AC8" s="105"/>
    </row>
    <row r="9" spans="1:29" x14ac:dyDescent="0.25">
      <c r="B9" s="1317" t="s">
        <v>52</v>
      </c>
      <c r="C9" s="1243" t="s">
        <v>282</v>
      </c>
      <c r="D9" s="2">
        <v>940972.3</v>
      </c>
      <c r="E9" s="1315" t="s">
        <v>485</v>
      </c>
      <c r="G9" s="1527">
        <f>IF(D9=0,"0.00%",(H9-D9)/D9)</f>
        <v>-1</v>
      </c>
      <c r="H9" s="3">
        <f>-H7</f>
        <v>0</v>
      </c>
      <c r="I9" s="1315"/>
      <c r="J9" s="61"/>
      <c r="K9" s="1527" t="str">
        <f>IF(H9=0,"0.00%",(L9-H9)/H9)</f>
        <v>0.00%</v>
      </c>
      <c r="L9" s="3">
        <f>L3</f>
        <v>0</v>
      </c>
      <c r="M9" s="1315"/>
      <c r="O9" s="1527" t="str">
        <f>IF(L9=0,"0.00%",(P9-L9)/L9)</f>
        <v>0.00%</v>
      </c>
      <c r="P9" s="3">
        <f>P3</f>
        <v>0</v>
      </c>
      <c r="Q9" s="1315"/>
      <c r="S9" s="83" t="str">
        <f>IF(P9=0,"0.00%",(T9-P9)/P9)</f>
        <v>0.00%</v>
      </c>
      <c r="T9" s="3">
        <f>T3</f>
        <v>0</v>
      </c>
      <c r="U9" s="105"/>
      <c r="W9" s="83" t="str">
        <f>IF(T9=0,"0.00%",(X9-T9)/T9)</f>
        <v>0.00%</v>
      </c>
      <c r="X9" s="3">
        <f>X3</f>
        <v>0</v>
      </c>
      <c r="Y9" s="105"/>
      <c r="AA9" s="83" t="str">
        <f>IF(X9=0,"0.00%",(AB9-X9)/X9)</f>
        <v>0.00%</v>
      </c>
      <c r="AB9" s="3">
        <f>AB3</f>
        <v>0</v>
      </c>
      <c r="AC9" s="105"/>
    </row>
    <row r="10" spans="1:29" x14ac:dyDescent="0.25">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940972.3</v>
      </c>
      <c r="E11" s="1315"/>
      <c r="G11" s="1527">
        <f t="shared" si="0"/>
        <v>-1</v>
      </c>
      <c r="H11" s="8">
        <f>SUM(H9:H10)</f>
        <v>0</v>
      </c>
      <c r="I11" s="1315"/>
      <c r="J11" s="62"/>
      <c r="K11" s="1527" t="str">
        <f>IF(H11=0,"0.00%",(L11-H11)/H11)</f>
        <v>0.00%</v>
      </c>
      <c r="L11" s="8">
        <f>SUM(L9:L10)</f>
        <v>0</v>
      </c>
      <c r="M11" s="1315"/>
      <c r="O11" s="1527" t="str">
        <f>IF(L11=0,"0.00%",(P11-L11)/L11)</f>
        <v>0.00%</v>
      </c>
      <c r="P11" s="8">
        <f>SUM(P9:P10)</f>
        <v>0</v>
      </c>
      <c r="Q11" s="1315"/>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ROUND(D11-(D11/(1+B13)),0)</f>
        <v>0</v>
      </c>
      <c r="E13" s="1315"/>
      <c r="G13" s="1527" t="str">
        <f t="shared" si="0"/>
        <v>0.00%</v>
      </c>
      <c r="H13" s="9">
        <f>ROUND(H11-(H11/(1+B13)),0)</f>
        <v>0</v>
      </c>
      <c r="I13" s="1315"/>
      <c r="J13" s="64"/>
      <c r="K13" s="1527" t="str">
        <f>IF(H13=0,"0.00%",(L13-H13)/H13)</f>
        <v>0.00%</v>
      </c>
      <c r="L13" s="9">
        <f>ROUND(L11-(L11/(1+B13)),0)</f>
        <v>0</v>
      </c>
      <c r="M13" s="1315"/>
      <c r="O13" s="1527" t="str">
        <f>IF(L13=0,"0.00%",(P13-L13)/L13)</f>
        <v>0.00%</v>
      </c>
      <c r="P13" s="9">
        <f>ROUND(P11-(P11/(1+B13)),0)</f>
        <v>0</v>
      </c>
      <c r="Q13" s="131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D11-D13+D7</f>
        <v>750662</v>
      </c>
      <c r="E15" s="1315"/>
      <c r="G15" s="1527">
        <f t="shared" si="0"/>
        <v>-1</v>
      </c>
      <c r="H15" s="10">
        <f>H11-H13+H7</f>
        <v>0</v>
      </c>
      <c r="I15" s="1315"/>
      <c r="J15" s="62"/>
      <c r="K15" s="1527" t="str">
        <f>IF(H15=0,"0.00%",(L15-H15)/H15)</f>
        <v>0.00%</v>
      </c>
      <c r="L15" s="10">
        <f>L11-L13+L7</f>
        <v>0</v>
      </c>
      <c r="M15" s="1315"/>
      <c r="O15" s="1527" t="str">
        <f>IF(L15=0,"0.00%",(P15-L15)/L15)</f>
        <v>0.00%</v>
      </c>
      <c r="P15" s="10">
        <f>P11-P13+P7</f>
        <v>0</v>
      </c>
      <c r="Q15" s="1315"/>
      <c r="S15" s="83" t="str">
        <f>IF(P15=0,"0.00%",(T15-P15)/P15)</f>
        <v>0.00%</v>
      </c>
      <c r="T15" s="53">
        <f>T11-T13+T7</f>
        <v>0</v>
      </c>
      <c r="U15" s="105"/>
      <c r="W15" s="83" t="str">
        <f>IF(T15=0,"0.00%",(X15-T15)/T15)</f>
        <v>0.00%</v>
      </c>
      <c r="X15" s="53">
        <f>X11-X13+X7</f>
        <v>0</v>
      </c>
      <c r="Y15" s="105"/>
      <c r="AA15" s="83" t="str">
        <f>IF(X15=0,"0.00%",(AB15-X15)/X15)</f>
        <v>0.00%</v>
      </c>
      <c r="AB15" s="53">
        <f>AB11-AB13+AB7</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v>0.02</v>
      </c>
      <c r="J19" s="29"/>
      <c r="L19" s="14" t="s">
        <v>48</v>
      </c>
      <c r="M19" s="1256">
        <v>0.02</v>
      </c>
      <c r="P19" s="14" t="s">
        <v>48</v>
      </c>
      <c r="Q19" s="1256">
        <v>0.02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t="str">
        <f t="shared" ref="I21:I28" si="3">TEXT($I$19,"0.0%")&amp;" = Est. S &amp; C"</f>
        <v>2.0% = Est. S &amp; C</v>
      </c>
      <c r="J21" s="66"/>
      <c r="K21" s="1527" t="str">
        <f t="shared" ref="K21:K27" si="4">IF(H21=0,"0.00%",(L21-H21)/H21)</f>
        <v>0.00%</v>
      </c>
      <c r="L21" s="2">
        <f>ROUND(H21*(1+M19),0)</f>
        <v>0</v>
      </c>
      <c r="M21" s="1257" t="str">
        <f>TEXT(M19,"0.0%")&amp;" = Est. S &amp; C"</f>
        <v>2.0% = Est. S &amp; C</v>
      </c>
      <c r="O21" s="1527" t="str">
        <f t="shared" ref="O21:O27" si="5">IF(L21=0,"0.00%",(P21-L21)/L21)</f>
        <v>0.00%</v>
      </c>
      <c r="P21" s="2">
        <f>ROUND(L21*(1+Q19),0)</f>
        <v>0</v>
      </c>
      <c r="Q21" s="125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2.0% = Est. S &amp; C</v>
      </c>
      <c r="J22" s="66"/>
      <c r="K22" s="1527" t="str">
        <f t="shared" si="4"/>
        <v>0.00%</v>
      </c>
      <c r="L22" s="2">
        <f>ROUND(H22*(1+M19),0)</f>
        <v>0</v>
      </c>
      <c r="M22" s="1257" t="str">
        <f>TEXT(M19,"0.0%")&amp;" = Est. S &amp; C"</f>
        <v>2.0% = Est. S &amp; C</v>
      </c>
      <c r="O22" s="1527" t="str">
        <f t="shared" si="5"/>
        <v>0.00%</v>
      </c>
      <c r="P22" s="2">
        <f>ROUND(L22*(1+Q19),0)</f>
        <v>0</v>
      </c>
      <c r="Q22" s="125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2.0% = Est. S &amp; C</v>
      </c>
      <c r="J23" s="66"/>
      <c r="K23" s="1527" t="str">
        <f t="shared" si="4"/>
        <v>0.00%</v>
      </c>
      <c r="L23" s="2">
        <f>ROUND(H23*(1+M19),0)</f>
        <v>0</v>
      </c>
      <c r="M23" s="1257" t="str">
        <f>TEXT(M19,"0.0%")&amp;" = Est. S &amp; C"</f>
        <v>2.0% = Est. S &amp; C</v>
      </c>
      <c r="O23" s="1527" t="str">
        <f t="shared" si="5"/>
        <v>0.00%</v>
      </c>
      <c r="P23" s="2">
        <f>ROUND(L23*(1+Q19),0)</f>
        <v>0</v>
      </c>
      <c r="Q23" s="125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2.0% = Est. S &amp; C</v>
      </c>
      <c r="J24" s="66"/>
      <c r="K24" s="1527" t="str">
        <f t="shared" si="4"/>
        <v>0.00%</v>
      </c>
      <c r="L24" s="2">
        <f>ROUND(H24*(1+M19),0)</f>
        <v>0</v>
      </c>
      <c r="M24" s="1257" t="str">
        <f>TEXT(M19,"0.0%")&amp;" = Est. S &amp; C"</f>
        <v>2.0% = Est. S &amp; C</v>
      </c>
      <c r="O24" s="1527" t="str">
        <f t="shared" si="5"/>
        <v>0.00%</v>
      </c>
      <c r="P24" s="2">
        <f>ROUND(L24*(1+Q19),0)</f>
        <v>0</v>
      </c>
      <c r="Q24" s="125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t="str">
        <f t="shared" si="3"/>
        <v>2.0% = Est. S &amp; C</v>
      </c>
      <c r="J25" s="66"/>
      <c r="K25" s="1527" t="str">
        <f t="shared" si="4"/>
        <v>0.00%</v>
      </c>
      <c r="L25" s="2">
        <f>ROUND(H25*(1+M19),0)</f>
        <v>0</v>
      </c>
      <c r="M25" s="1257" t="str">
        <f>TEXT(M19,"0.0%")&amp;" = Est. S &amp; C"</f>
        <v>2.0% = Est. S &amp; C</v>
      </c>
      <c r="O25" s="1527" t="str">
        <f t="shared" si="5"/>
        <v>0.00%</v>
      </c>
      <c r="P25" s="2">
        <f>ROUND(L25*(1+Q19),0)</f>
        <v>0</v>
      </c>
      <c r="Q25" s="125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2.0% = Est. S &amp; C</v>
      </c>
      <c r="J26" s="66"/>
      <c r="K26" s="1527" t="str">
        <f t="shared" si="4"/>
        <v>0.00%</v>
      </c>
      <c r="L26" s="2">
        <f>ROUND(H26*(1+M19),0)</f>
        <v>0</v>
      </c>
      <c r="M26" s="1257" t="str">
        <f>TEXT(M19,"0.0%")&amp;" = Est. S &amp; C"</f>
        <v>2.0% = Est. S &amp; C</v>
      </c>
      <c r="O26" s="1527" t="str">
        <f t="shared" si="5"/>
        <v>0.00%</v>
      </c>
      <c r="P26" s="2">
        <f>ROUND(L26*(1+Q19),0)</f>
        <v>0</v>
      </c>
      <c r="Q26" s="125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2.0% = Est. S &amp; C</v>
      </c>
      <c r="J27" s="66"/>
      <c r="K27" s="1527" t="str">
        <f t="shared" si="4"/>
        <v>0.00%</v>
      </c>
      <c r="L27" s="2">
        <f>ROUND(H27*(1+M19),0)</f>
        <v>0</v>
      </c>
      <c r="M27" s="1257" t="str">
        <f>TEXT(M19,"0.0%")&amp;" = Est. S &amp; C"</f>
        <v>2.0% = Est. S &amp; C</v>
      </c>
      <c r="O27" s="1527" t="str">
        <f t="shared" si="5"/>
        <v>0.00%</v>
      </c>
      <c r="P27" s="2">
        <f>ROUND(L27*(1+Q19),0)</f>
        <v>0</v>
      </c>
      <c r="Q27" s="125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2.0%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hidden="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c r="D33" s="2">
        <v>0</v>
      </c>
      <c r="E33" s="1249"/>
      <c r="F33" s="2"/>
      <c r="G33" s="1527" t="str">
        <f t="shared" ref="G33:G39" si="9">IF(D33=0,"0.00%",(H33-D33)/D33)</f>
        <v>0.00%</v>
      </c>
      <c r="H33" s="2">
        <f t="shared" ref="H33:H39" si="10">ROUND(D33*(1+$I$19),0)</f>
        <v>0</v>
      </c>
      <c r="I33" s="1257" t="str">
        <f t="shared" ref="I33:I39" si="11">TEXT($I$19,"0.0%")&amp;" = Est. S &amp; C"</f>
        <v>2.0% = Est. S &amp; C</v>
      </c>
      <c r="J33" s="66"/>
      <c r="K33" s="1527" t="str">
        <f t="shared" ref="K33:K39" si="12">IF(H33=0,"0.00%",(L33-H33)/H33)</f>
        <v>0.00%</v>
      </c>
      <c r="L33" s="2">
        <f>ROUND(H33*(1+M19),0)</f>
        <v>0</v>
      </c>
      <c r="M33" s="1257"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D34" s="2">
        <v>0</v>
      </c>
      <c r="E34" s="1249"/>
      <c r="F34" s="2"/>
      <c r="G34" s="1527" t="str">
        <f t="shared" si="9"/>
        <v>0.00%</v>
      </c>
      <c r="H34" s="2">
        <f t="shared" si="10"/>
        <v>0</v>
      </c>
      <c r="I34" s="1257" t="str">
        <f t="shared" si="11"/>
        <v>2.0% = Est. S &amp; C</v>
      </c>
      <c r="J34" s="66"/>
      <c r="K34" s="1527" t="str">
        <f t="shared" si="12"/>
        <v>0.00%</v>
      </c>
      <c r="L34" s="2">
        <f>ROUND(H34*(1+M19),0)</f>
        <v>0</v>
      </c>
      <c r="M34" s="1257" t="str">
        <f>TEXT(M19,"0.0%")&amp;" = Est. S &amp; C"</f>
        <v>2.0% = Est. S &amp; C</v>
      </c>
      <c r="O34" s="1527" t="str">
        <f t="shared" si="13"/>
        <v>0.00%</v>
      </c>
      <c r="P34" s="2">
        <f>ROUND(L34*(1+Q19),0)</f>
        <v>0</v>
      </c>
      <c r="Q34" s="125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D35" s="2">
        <v>0</v>
      </c>
      <c r="E35" s="1249"/>
      <c r="F35" s="2"/>
      <c r="G35" s="1527" t="str">
        <f t="shared" si="9"/>
        <v>0.00%</v>
      </c>
      <c r="H35" s="2">
        <f t="shared" si="10"/>
        <v>0</v>
      </c>
      <c r="I35" s="1257" t="str">
        <f t="shared" si="11"/>
        <v>2.0% = Est. S &amp; C</v>
      </c>
      <c r="J35" s="66"/>
      <c r="K35" s="1527" t="str">
        <f t="shared" si="12"/>
        <v>0.00%</v>
      </c>
      <c r="L35" s="2">
        <f>ROUND(H35*(1+M19),0)</f>
        <v>0</v>
      </c>
      <c r="M35" s="1257" t="str">
        <f>TEXT(M19,"0.0%")&amp;" = Est. S &amp; C"</f>
        <v>2.0% = Est. S &amp; C</v>
      </c>
      <c r="O35" s="1527" t="str">
        <f t="shared" si="13"/>
        <v>0.00%</v>
      </c>
      <c r="P35" s="2">
        <f>ROUND(L35*(1+Q19),0)</f>
        <v>0</v>
      </c>
      <c r="Q35" s="125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D36" s="2">
        <v>0</v>
      </c>
      <c r="E36" s="1249"/>
      <c r="F36" s="2"/>
      <c r="G36" s="1527" t="str">
        <f t="shared" si="9"/>
        <v>0.00%</v>
      </c>
      <c r="H36" s="2">
        <f t="shared" si="10"/>
        <v>0</v>
      </c>
      <c r="I36" s="1257" t="str">
        <f t="shared" si="11"/>
        <v>2.0% = Est. S &amp; C</v>
      </c>
      <c r="J36" s="66"/>
      <c r="K36" s="1527" t="str">
        <f t="shared" si="12"/>
        <v>0.00%</v>
      </c>
      <c r="L36" s="2">
        <f>ROUND(H36*(1+M19),0)</f>
        <v>0</v>
      </c>
      <c r="M36" s="1257" t="str">
        <f>TEXT(M19,"0.0%")&amp;" = Est. S &amp; C"</f>
        <v>2.0% = Est. S &amp; C</v>
      </c>
      <c r="O36" s="1527" t="str">
        <f t="shared" si="13"/>
        <v>0.00%</v>
      </c>
      <c r="P36" s="2">
        <f>ROUND(L36*(1+Q19),0)</f>
        <v>0</v>
      </c>
      <c r="Q36" s="125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D37" s="2">
        <v>0</v>
      </c>
      <c r="E37" s="1249"/>
      <c r="F37" s="2"/>
      <c r="G37" s="1527" t="str">
        <f t="shared" si="9"/>
        <v>0.00%</v>
      </c>
      <c r="H37" s="2">
        <f t="shared" si="10"/>
        <v>0</v>
      </c>
      <c r="I37" s="1257" t="str">
        <f t="shared" si="11"/>
        <v>2.0% = Est. S &amp; C</v>
      </c>
      <c r="J37" s="66"/>
      <c r="K37" s="1527" t="str">
        <f t="shared" si="12"/>
        <v>0.00%</v>
      </c>
      <c r="L37" s="2">
        <f>ROUND(H37*(1+M19),0)</f>
        <v>0</v>
      </c>
      <c r="M37" s="1257" t="str">
        <f>TEXT(M19,"0.0%")&amp;" = Est. S &amp; C"</f>
        <v>2.0% = Est. S &amp; C</v>
      </c>
      <c r="O37" s="1527" t="str">
        <f t="shared" si="13"/>
        <v>0.00%</v>
      </c>
      <c r="P37" s="2">
        <f>ROUND(L37*(1+Q19),0)</f>
        <v>0</v>
      </c>
      <c r="Q37" s="125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D38" s="2">
        <v>0</v>
      </c>
      <c r="E38" s="1249"/>
      <c r="F38" s="2"/>
      <c r="G38" s="1527" t="str">
        <f t="shared" si="9"/>
        <v>0.00%</v>
      </c>
      <c r="H38" s="2">
        <f t="shared" si="10"/>
        <v>0</v>
      </c>
      <c r="I38" s="1257" t="str">
        <f t="shared" si="11"/>
        <v>2.0% = Est. S &amp; C</v>
      </c>
      <c r="J38" s="66"/>
      <c r="K38" s="1527" t="str">
        <f t="shared" si="12"/>
        <v>0.00%</v>
      </c>
      <c r="L38" s="2">
        <f>ROUND(H38*(1+M19),0)</f>
        <v>0</v>
      </c>
      <c r="M38" s="1257" t="str">
        <f>TEXT(M19,"0.0%")&amp;" = Est. S &amp; C"</f>
        <v>2.0% = Est. S &amp; C</v>
      </c>
      <c r="O38" s="1527" t="str">
        <f t="shared" si="13"/>
        <v>0.00%</v>
      </c>
      <c r="P38" s="2">
        <f>ROUND(L38*(1+Q19),0)</f>
        <v>0</v>
      </c>
      <c r="Q38" s="125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0"/>
        <v>0</v>
      </c>
      <c r="I39" s="1257" t="str">
        <f t="shared" si="11"/>
        <v>2.0% = Est. S &amp; C</v>
      </c>
      <c r="J39" s="66"/>
      <c r="K39" s="1527" t="str">
        <f t="shared" si="12"/>
        <v>0.00%</v>
      </c>
      <c r="L39" s="2">
        <f>ROUND(H39*(1+M19),0)</f>
        <v>0</v>
      </c>
      <c r="M39" s="1257" t="str">
        <f>TEXT(M19,"0.0%")&amp;" = Est. S &amp; C"</f>
        <v>2.0% = Est. S &amp; C</v>
      </c>
      <c r="O39" s="1527" t="str">
        <f t="shared" si="13"/>
        <v>0.00%</v>
      </c>
      <c r="P39" s="2">
        <f>ROUND(L39*(1+Q19),0)</f>
        <v>0</v>
      </c>
      <c r="Q39" s="125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hidden="1"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3"/>
      <c r="B42" s="1317" t="s">
        <v>28</v>
      </c>
      <c r="E42" s="1249"/>
      <c r="F42" s="2"/>
      <c r="H42" s="2"/>
      <c r="I42" s="1257"/>
      <c r="J42" s="66"/>
      <c r="L42" s="2"/>
      <c r="M42" s="1335"/>
      <c r="Q42" s="1335"/>
      <c r="T42" s="2"/>
      <c r="U42" s="73"/>
      <c r="X42" s="2"/>
      <c r="Y42" s="73"/>
      <c r="AB42" s="2"/>
      <c r="AC42" s="73"/>
    </row>
    <row r="43" spans="1:29" hidden="1" x14ac:dyDescent="0.25">
      <c r="A43" s="155"/>
      <c r="B43" s="1323" t="s">
        <v>27</v>
      </c>
      <c r="E43" s="1249"/>
      <c r="F43" s="2"/>
      <c r="H43" s="2"/>
      <c r="I43" s="1257"/>
      <c r="J43" s="66"/>
      <c r="L43" s="2"/>
      <c r="M43" s="1335"/>
      <c r="Q43" s="1335"/>
      <c r="T43" s="2"/>
      <c r="U43" s="73"/>
      <c r="X43" s="2"/>
      <c r="Y43" s="73"/>
      <c r="AB43" s="2"/>
      <c r="AC43" s="73"/>
    </row>
    <row r="44" spans="1:29" hidden="1" x14ac:dyDescent="0.25">
      <c r="A44" s="153"/>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hidden="1" x14ac:dyDescent="0.25">
      <c r="A45" s="153"/>
      <c r="B45" s="1326" t="s">
        <v>84</v>
      </c>
      <c r="C45" s="1243" t="s">
        <v>77</v>
      </c>
      <c r="D45" s="2">
        <v>0</v>
      </c>
      <c r="E45" s="1240" t="str">
        <f>TEXT('MYP Assumptions'!$D$53,"0.00%")&amp;", PERS rate"</f>
        <v>13.89%, PERS rate</v>
      </c>
      <c r="F45" s="2"/>
      <c r="G45" s="1527" t="str">
        <f t="shared" si="17"/>
        <v>0.00%</v>
      </c>
      <c r="H45" s="2">
        <f>ROUND(H41*LEFT(I45,6),0)</f>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hidden="1" x14ac:dyDescent="0.25">
      <c r="A46" s="153"/>
      <c r="B46" s="1326" t="s">
        <v>85</v>
      </c>
      <c r="C46" s="1243" t="s">
        <v>78</v>
      </c>
      <c r="D46" s="2">
        <v>0</v>
      </c>
      <c r="E46" s="1240" t="str">
        <f>TEXT('MYP Assumptions'!$D$54,"0.00%")&amp;", SS rate"</f>
        <v>6.20%, SS rate</v>
      </c>
      <c r="F46" s="2"/>
      <c r="G46" s="1527" t="str">
        <f t="shared" si="17"/>
        <v>0.00%</v>
      </c>
      <c r="H46" s="2">
        <f>ROUND(H41*LEFT(I46,5),0)</f>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hidden="1" x14ac:dyDescent="0.25">
      <c r="A47" s="153"/>
      <c r="B47" s="1326" t="s">
        <v>86</v>
      </c>
      <c r="C47" s="1243" t="s">
        <v>79</v>
      </c>
      <c r="D47" s="2">
        <v>0</v>
      </c>
      <c r="E47" s="1240" t="str">
        <f>TEXT('MYP Assumptions'!$D$55,"0.00%")&amp;", Medicare rate"</f>
        <v>1.45%, Medicare rate</v>
      </c>
      <c r="F47" s="2"/>
      <c r="G47" s="1527" t="str">
        <f t="shared" si="17"/>
        <v>0.00%</v>
      </c>
      <c r="H47" s="2">
        <f>ROUND((H41+H30)*LEFT(I47,5),0)</f>
        <v>0</v>
      </c>
      <c r="I47" s="1240" t="str">
        <f>TEXT('MYP Assumptions'!E55,"0.00%")&amp;", no rate change"</f>
        <v>1.45%, no rate change</v>
      </c>
      <c r="J47" s="66"/>
      <c r="K47" s="1527" t="str">
        <f t="shared" si="18"/>
        <v>0.00%</v>
      </c>
      <c r="L47" s="2">
        <f>ROUND((L41+L30)*LEFT(M47,5),0)</f>
        <v>0</v>
      </c>
      <c r="M47" s="1240"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hidden="1" x14ac:dyDescent="0.25">
      <c r="A48" s="153"/>
      <c r="B48" s="1326" t="s">
        <v>87</v>
      </c>
      <c r="C48" s="1243" t="s">
        <v>80</v>
      </c>
      <c r="D48" s="2">
        <v>0</v>
      </c>
      <c r="E48" s="1240"/>
      <c r="F48" s="2"/>
      <c r="G48" s="1527" t="str">
        <f t="shared" si="17"/>
        <v>0.00%</v>
      </c>
      <c r="H48" s="2">
        <f>ROUND((D48)*(LEFT(I48,5)+1),0)</f>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hidden="1" x14ac:dyDescent="0.25">
      <c r="A49" s="153"/>
      <c r="B49" s="1326" t="s">
        <v>88</v>
      </c>
      <c r="C49" s="1243" t="s">
        <v>81</v>
      </c>
      <c r="D49" s="2">
        <v>0</v>
      </c>
      <c r="E49" s="1240" t="str">
        <f>TEXT('MYP Assumptions'!$D$56,"0.00%")&amp;", SUI rate"</f>
        <v>0.05%, SUI rate</v>
      </c>
      <c r="F49" s="2"/>
      <c r="G49" s="1527" t="str">
        <f t="shared" si="17"/>
        <v>0.00%</v>
      </c>
      <c r="H49" s="2">
        <f>ROUND((H41+H30)*LEFT(I49,5),0)</f>
        <v>0</v>
      </c>
      <c r="I49" s="1240" t="str">
        <f>TEXT('MYP Assumptions'!E56,"0.00%")&amp;", no rate change"</f>
        <v>0.05%, no rate change</v>
      </c>
      <c r="J49" s="66"/>
      <c r="K49" s="1527" t="str">
        <f t="shared" si="18"/>
        <v>0.00%</v>
      </c>
      <c r="L49" s="2">
        <f>ROUND((L41+L30)*LEFT(M49,5),0)</f>
        <v>0</v>
      </c>
      <c r="M49" s="1240"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hidden="1" x14ac:dyDescent="0.25">
      <c r="A50" s="153"/>
      <c r="B50" s="1326" t="s">
        <v>89</v>
      </c>
      <c r="C50" s="1243" t="s">
        <v>82</v>
      </c>
      <c r="D50" s="2">
        <v>0</v>
      </c>
      <c r="E50" s="1240" t="str">
        <f>TEXT('MYP Assumptions'!$D$57,"0.00%")&amp;", W/C rate"</f>
        <v>1.10%, W/C rate</v>
      </c>
      <c r="F50" s="2"/>
      <c r="G50" s="1527" t="str">
        <f t="shared" si="17"/>
        <v>0.00%</v>
      </c>
      <c r="H50" s="2">
        <f>ROUND((H41+H30)*LEFT(I50,5),0)</f>
        <v>0</v>
      </c>
      <c r="I50" s="1240" t="str">
        <f>TEXT('MYP Assumptions'!E57,"0.00%")&amp;", no rate change"</f>
        <v>1.10%, no rate change</v>
      </c>
      <c r="J50" s="66"/>
      <c r="K50" s="1527" t="str">
        <f t="shared" si="18"/>
        <v>0.00%</v>
      </c>
      <c r="L50" s="2">
        <f>ROUND((L41+L30)*LEFT(M50,5),0)</f>
        <v>0</v>
      </c>
      <c r="M50" s="1240"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hidden="1" x14ac:dyDescent="0.25">
      <c r="A51" s="153"/>
      <c r="B51" s="1326" t="s">
        <v>90</v>
      </c>
      <c r="C51" s="1243" t="s">
        <v>92</v>
      </c>
      <c r="D51" s="2">
        <v>0</v>
      </c>
      <c r="E51" s="1249"/>
      <c r="F51" s="2"/>
      <c r="G51" s="1527" t="str">
        <f t="shared" si="17"/>
        <v>0.00%</v>
      </c>
      <c r="H51" s="2">
        <f>D51</f>
        <v>0</v>
      </c>
      <c r="I51" s="1240" t="s">
        <v>166</v>
      </c>
      <c r="J51" s="66"/>
      <c r="K51" s="1527" t="str">
        <f t="shared" si="18"/>
        <v>0.00%</v>
      </c>
      <c r="L51" s="2">
        <f>H51</f>
        <v>0</v>
      </c>
      <c r="M51" s="1240" t="s">
        <v>166</v>
      </c>
      <c r="O51" s="1527" t="str">
        <f t="shared" si="19"/>
        <v>0.00%</v>
      </c>
      <c r="P51" s="2">
        <f>L51</f>
        <v>0</v>
      </c>
      <c r="Q51" s="1240"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3"/>
      <c r="B52" s="1326" t="s">
        <v>91</v>
      </c>
      <c r="C52" s="1243" t="s">
        <v>93</v>
      </c>
      <c r="D52" s="2">
        <v>0</v>
      </c>
      <c r="E52" s="1249"/>
      <c r="F52" s="2"/>
      <c r="G52" s="1527" t="str">
        <f t="shared" si="17"/>
        <v>0.00%</v>
      </c>
      <c r="H52" s="2">
        <f>D52</f>
        <v>0</v>
      </c>
      <c r="I52" s="1240" t="s">
        <v>166</v>
      </c>
      <c r="J52" s="66"/>
      <c r="K52" s="1527" t="str">
        <f t="shared" si="18"/>
        <v>0.00%</v>
      </c>
      <c r="L52" s="2">
        <f>H52</f>
        <v>0</v>
      </c>
      <c r="M52" s="1240" t="s">
        <v>166</v>
      </c>
      <c r="O52" s="1527" t="str">
        <f t="shared" si="19"/>
        <v>0.00%</v>
      </c>
      <c r="P52" s="2">
        <f>L52</f>
        <v>0</v>
      </c>
      <c r="Q52" s="1240"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4"/>
      <c r="B53" s="1326"/>
      <c r="D53" s="8">
        <f>SUM(D44:D52)</f>
        <v>0</v>
      </c>
      <c r="E53" s="1249"/>
      <c r="F53" s="2"/>
      <c r="G53" s="1527" t="str">
        <f t="shared" si="17"/>
        <v>0.00%</v>
      </c>
      <c r="H53" s="8">
        <f>SUM(H44:H52)</f>
        <v>0</v>
      </c>
      <c r="I53" s="1258"/>
      <c r="J53" s="29"/>
      <c r="K53" s="1527" t="str">
        <f t="shared" si="18"/>
        <v>0.00%</v>
      </c>
      <c r="L53" s="8">
        <f>SUM(L44:L52)</f>
        <v>0</v>
      </c>
      <c r="M53" s="1335"/>
      <c r="O53" s="1527" t="str">
        <f t="shared" si="19"/>
        <v>0.00%</v>
      </c>
      <c r="P53" s="8">
        <f>SUM(P44:P52)</f>
        <v>0</v>
      </c>
      <c r="Q53" s="1335"/>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5"/>
      <c r="B54" s="1326"/>
      <c r="E54" s="1249"/>
      <c r="F54" s="2"/>
      <c r="H54" s="2"/>
      <c r="I54" s="1257"/>
      <c r="J54" s="66"/>
      <c r="L54" s="2"/>
      <c r="M54" s="1335"/>
      <c r="Q54" s="1335"/>
      <c r="T54" s="2"/>
      <c r="U54" s="73"/>
      <c r="X54" s="2"/>
      <c r="Y54" s="73"/>
      <c r="AB54" s="2"/>
      <c r="AC54" s="73"/>
    </row>
    <row r="55" spans="1:29" hidden="1" x14ac:dyDescent="0.25">
      <c r="A55" s="154"/>
      <c r="B55" s="1323" t="s">
        <v>26</v>
      </c>
      <c r="D55" s="8">
        <f>SUM(D53,D41,D30)</f>
        <v>0</v>
      </c>
      <c r="E55" s="1249"/>
      <c r="F55" s="2"/>
      <c r="G55" s="1527" t="str">
        <f>IF(D55=0,"0.00%",(H55-D55)/D55)</f>
        <v>0.00%</v>
      </c>
      <c r="H55" s="8">
        <f>SUM(H53,H41,H30)</f>
        <v>0</v>
      </c>
      <c r="I55" s="1258"/>
      <c r="J55" s="29"/>
      <c r="K55" s="1527" t="str">
        <f>IF(H55=0,"0.00%",(L55-H55)/H55)</f>
        <v>0.00%</v>
      </c>
      <c r="L55" s="8">
        <f>SUM(L53,L41,L30)</f>
        <v>0</v>
      </c>
      <c r="M55" s="1335"/>
      <c r="O55" s="1527" t="str">
        <f>IF(L55=0,"0.00%",(P55-L55)/L55)</f>
        <v>0.00%</v>
      </c>
      <c r="P55" s="8">
        <f>SUM(P53,P41,P30)</f>
        <v>0</v>
      </c>
      <c r="Q55" s="1335"/>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6"/>
      <c r="E56" s="1249"/>
      <c r="F56" s="2"/>
      <c r="H56" s="2"/>
      <c r="I56" s="1257"/>
      <c r="J56" s="66"/>
      <c r="L56" s="2"/>
      <c r="M56" s="1335"/>
      <c r="Q56" s="1335"/>
      <c r="T56" s="2"/>
      <c r="U56" s="73"/>
      <c r="X56" s="2"/>
      <c r="Y56" s="73"/>
      <c r="AB56" s="2"/>
      <c r="AC56" s="73"/>
    </row>
    <row r="57" spans="1:29" hidden="1" x14ac:dyDescent="0.25">
      <c r="A57" s="153"/>
      <c r="E57" s="1249"/>
      <c r="F57" s="2"/>
      <c r="H57" s="2"/>
      <c r="I57" s="1257"/>
      <c r="J57" s="66"/>
      <c r="L57" s="2"/>
      <c r="M57" s="1335"/>
      <c r="Q57" s="1335"/>
      <c r="T57" s="2"/>
      <c r="U57" s="73"/>
      <c r="X57" s="2"/>
      <c r="Y57" s="73"/>
      <c r="AB57" s="2"/>
      <c r="AC57" s="73"/>
    </row>
    <row r="58" spans="1:29" hidden="1" x14ac:dyDescent="0.25">
      <c r="A58" s="156"/>
      <c r="B58" s="1327" t="s">
        <v>25</v>
      </c>
      <c r="C58" s="1259"/>
      <c r="E58" s="1249"/>
      <c r="F58" s="2"/>
      <c r="H58" s="2"/>
      <c r="I58" s="1257"/>
      <c r="J58" s="66"/>
      <c r="L58" s="2"/>
      <c r="M58" s="1335"/>
      <c r="Q58" s="1335"/>
      <c r="T58" s="2"/>
      <c r="U58" s="73"/>
      <c r="X58" s="2"/>
      <c r="Y58" s="73"/>
      <c r="AB58" s="2"/>
      <c r="AC58" s="73"/>
    </row>
    <row r="59" spans="1:29" hidden="1" x14ac:dyDescent="0.25">
      <c r="A59" s="153"/>
      <c r="B59" s="1326"/>
      <c r="D59" s="2">
        <v>0</v>
      </c>
      <c r="E59" s="1249"/>
      <c r="F59" s="2"/>
      <c r="G59" s="1527" t="str">
        <f t="shared" ref="G59:G66" si="23">IF(D59=0,"0.00%",(H59-D59)/D59)</f>
        <v>0.00%</v>
      </c>
      <c r="H59" s="2">
        <f t="shared" ref="H59:H65" si="24">ROUND(D59*(LEFT(I59,5)+1),0)</f>
        <v>0</v>
      </c>
      <c r="I59" s="1240" t="str">
        <f>TEXT('MYP Assumptions'!E72,"0.00%")&amp;", CPI"</f>
        <v>3.11%, CPI</v>
      </c>
      <c r="J59" s="66"/>
      <c r="K59" s="1527" t="str">
        <f t="shared" ref="K59:K66" si="25">IF(H59=0,"0.00%",(L59-H59)/H59)</f>
        <v>0.00%</v>
      </c>
      <c r="L59" s="2">
        <f>ROUND(H59*(LEFT(M59,5)+1),0)</f>
        <v>0</v>
      </c>
      <c r="M59" s="1240" t="str">
        <f>TEXT('MYP Assumptions'!F72,"0.00%")&amp;", CPI"</f>
        <v>3.19%, CPI</v>
      </c>
      <c r="O59" s="1527" t="str">
        <f t="shared" ref="O59:O66" si="26">IF(L59=0,"0.00%",(P59-L59)/L59)</f>
        <v>0.00%</v>
      </c>
      <c r="P59" s="2">
        <f>ROUND(L59*(LEFT(Q59,5)+1),0)</f>
        <v>0</v>
      </c>
      <c r="Q59" s="1240" t="str">
        <f>TEXT('MYP Assumptions'!G72,"0.00%")&amp;", CPI"</f>
        <v>2.86%, CPI</v>
      </c>
      <c r="S59" s="83" t="str">
        <f t="shared" ref="S59:S66" si="27">IF(P59=0,"0.00%",(T59-P59)/P59)</f>
        <v>0.00%</v>
      </c>
      <c r="T59" s="2">
        <f>ROUND(P59*(LEFT(U59,5)+1),0)</f>
        <v>0</v>
      </c>
      <c r="U59" s="81" t="str">
        <f>TEXT('MYP Assumptions'!H72,"0.00%")&amp;", CPI"</f>
        <v>2.73%, CPI</v>
      </c>
      <c r="W59" s="83" t="str">
        <f t="shared" ref="W59:W66" si="28">IF(T59=0,"0.00%",(X59-T59)/T59)</f>
        <v>0.00%</v>
      </c>
      <c r="X59" s="2">
        <f>ROUND(T59*(LEFT(Y59,5)+1),0)</f>
        <v>0</v>
      </c>
      <c r="Y59" s="81" t="str">
        <f>TEXT('MYP Assumptions'!I72,"0.00%")&amp;", CPI"</f>
        <v>2.73%, CPI</v>
      </c>
      <c r="AA59" s="83" t="str">
        <f t="shared" ref="AA59:AA66" si="29">IF(X59=0,"0.00%",(AB59-X59)/X59)</f>
        <v>0.00%</v>
      </c>
      <c r="AB59" s="2">
        <f>ROUND(X59*(LEFT(AC59,5)+1),0)</f>
        <v>0</v>
      </c>
      <c r="AC59" s="81" t="str">
        <f>TEXT('MYP Assumptions'!J72,"0.00%")&amp;", CPI"</f>
        <v>2.73%, CPI</v>
      </c>
    </row>
    <row r="60" spans="1:29" hidden="1" x14ac:dyDescent="0.25">
      <c r="A60" s="153"/>
      <c r="B60" s="1326"/>
      <c r="D60" s="2">
        <v>0</v>
      </c>
      <c r="E60" s="1249"/>
      <c r="F60" s="2"/>
      <c r="G60" s="1527" t="str">
        <f t="shared" si="23"/>
        <v>0.00%</v>
      </c>
      <c r="H60" s="2">
        <f t="shared" si="24"/>
        <v>0</v>
      </c>
      <c r="I60" s="1240" t="str">
        <f>TEXT('MYP Assumptions'!E72,"0.00%")&amp;", CPI"</f>
        <v>3.11%, CPI</v>
      </c>
      <c r="J60" s="66"/>
      <c r="K60" s="1527" t="str">
        <f t="shared" si="25"/>
        <v>0.00%</v>
      </c>
      <c r="L60" s="2">
        <f t="shared" ref="L60:L65" si="30">ROUND(H60*(LEFT(M60,5)+1),0)</f>
        <v>0</v>
      </c>
      <c r="M60" s="1240" t="str">
        <f>TEXT('MYP Assumptions'!F72,"0.00%")&amp;", CPI"</f>
        <v>3.19%, CPI</v>
      </c>
      <c r="O60" s="1527" t="str">
        <f t="shared" si="26"/>
        <v>0.00%</v>
      </c>
      <c r="P60" s="2">
        <f t="shared" ref="P60:P65" si="31">ROUND(L60*(LEFT(Q60,5)+1),0)</f>
        <v>0</v>
      </c>
      <c r="Q60" s="1240" t="str">
        <f>TEXT('MYP Assumptions'!G72,"0.00%")&amp;", CPI"</f>
        <v>2.86%, CPI</v>
      </c>
      <c r="S60" s="83" t="str">
        <f t="shared" si="27"/>
        <v>0.00%</v>
      </c>
      <c r="T60" s="2">
        <f t="shared" ref="T60:T65" si="32">ROUND(P60*(LEFT(U60,5)+1),0)</f>
        <v>0</v>
      </c>
      <c r="U60" s="81" t="str">
        <f>TEXT('MYP Assumptions'!H72,"0.00%")&amp;", CPI"</f>
        <v>2.73%, CPI</v>
      </c>
      <c r="W60" s="83" t="str">
        <f t="shared" si="28"/>
        <v>0.00%</v>
      </c>
      <c r="X60" s="2">
        <f t="shared" ref="X60:X65" si="33">ROUND(T60*(LEFT(Y60,5)+1),0)</f>
        <v>0</v>
      </c>
      <c r="Y60" s="81" t="str">
        <f>TEXT('MYP Assumptions'!I72,"0.00%")&amp;", CPI"</f>
        <v>2.73%, CPI</v>
      </c>
      <c r="AA60" s="83" t="str">
        <f t="shared" si="29"/>
        <v>0.00%</v>
      </c>
      <c r="AB60" s="2">
        <f t="shared" ref="AB60:AB65" si="34">ROUND(X60*(LEFT(AC60,5)+1),0)</f>
        <v>0</v>
      </c>
      <c r="AC60" s="81" t="str">
        <f>TEXT('MYP Assumptions'!J72,"0.00%")&amp;", CPI"</f>
        <v>2.73%, CPI</v>
      </c>
    </row>
    <row r="61" spans="1:29" hidden="1" x14ac:dyDescent="0.25">
      <c r="A61" s="153"/>
      <c r="B61" s="1326"/>
      <c r="D61" s="2">
        <v>0</v>
      </c>
      <c r="E61" s="1249"/>
      <c r="F61" s="2"/>
      <c r="G61" s="1527" t="str">
        <f t="shared" si="23"/>
        <v>0.00%</v>
      </c>
      <c r="H61" s="2">
        <f t="shared" si="24"/>
        <v>0</v>
      </c>
      <c r="I61" s="1240" t="str">
        <f>TEXT('MYP Assumptions'!E72,"0.00%")&amp;", CPI"</f>
        <v>3.11%, CPI</v>
      </c>
      <c r="J61" s="66"/>
      <c r="K61" s="1527" t="str">
        <f t="shared" si="25"/>
        <v>0.00%</v>
      </c>
      <c r="L61" s="2">
        <f t="shared" si="30"/>
        <v>0</v>
      </c>
      <c r="M61" s="1240" t="str">
        <f>TEXT('MYP Assumptions'!F72,"0.00%")&amp;", CPI"</f>
        <v>3.19%, CPI</v>
      </c>
      <c r="O61" s="1527" t="str">
        <f t="shared" si="26"/>
        <v>0.00%</v>
      </c>
      <c r="P61" s="2">
        <f t="shared" si="31"/>
        <v>0</v>
      </c>
      <c r="Q61" s="1240" t="str">
        <f>TEXT('MYP Assumptions'!G72,"0.00%")&amp;", CPI"</f>
        <v>2.86%, CPI</v>
      </c>
      <c r="S61" s="83" t="str">
        <f t="shared" si="27"/>
        <v>0.00%</v>
      </c>
      <c r="T61" s="2">
        <f t="shared" si="32"/>
        <v>0</v>
      </c>
      <c r="U61" s="81" t="str">
        <f>TEXT('MYP Assumptions'!H72,"0.00%")&amp;", CPI"</f>
        <v>2.73%, CPI</v>
      </c>
      <c r="W61" s="83" t="str">
        <f t="shared" si="28"/>
        <v>0.00%</v>
      </c>
      <c r="X61" s="2">
        <f t="shared" si="33"/>
        <v>0</v>
      </c>
      <c r="Y61" s="81" t="str">
        <f>TEXT('MYP Assumptions'!I72,"0.00%")&amp;", CPI"</f>
        <v>2.73%, CPI</v>
      </c>
      <c r="AA61" s="83" t="str">
        <f t="shared" si="29"/>
        <v>0.00%</v>
      </c>
      <c r="AB61" s="2">
        <f t="shared" si="34"/>
        <v>0</v>
      </c>
      <c r="AC61" s="81" t="str">
        <f>TEXT('MYP Assumptions'!J72,"0.00%")&amp;", CPI"</f>
        <v>2.73%, CPI</v>
      </c>
    </row>
    <row r="62" spans="1:29" hidden="1" x14ac:dyDescent="0.25">
      <c r="A62" s="153"/>
      <c r="B62" s="1326"/>
      <c r="D62" s="2">
        <v>0</v>
      </c>
      <c r="E62" s="1249"/>
      <c r="F62" s="2"/>
      <c r="G62" s="1527" t="str">
        <f t="shared" si="23"/>
        <v>0.00%</v>
      </c>
      <c r="H62" s="2">
        <f t="shared" si="24"/>
        <v>0</v>
      </c>
      <c r="I62" s="1240" t="str">
        <f>TEXT('MYP Assumptions'!E72,"0.00%")&amp;", CPI"</f>
        <v>3.11%, CPI</v>
      </c>
      <c r="J62" s="66"/>
      <c r="K62" s="1527" t="str">
        <f t="shared" si="25"/>
        <v>0.00%</v>
      </c>
      <c r="L62" s="2">
        <f t="shared" si="30"/>
        <v>0</v>
      </c>
      <c r="M62" s="1240" t="str">
        <f>TEXT('MYP Assumptions'!F72,"0.00%")&amp;", CPI"</f>
        <v>3.19%, CPI</v>
      </c>
      <c r="O62" s="1527" t="str">
        <f t="shared" si="26"/>
        <v>0.00%</v>
      </c>
      <c r="P62" s="2">
        <f t="shared" si="31"/>
        <v>0</v>
      </c>
      <c r="Q62" s="1240" t="str">
        <f>TEXT('MYP Assumptions'!G72,"0.00%")&amp;", CPI"</f>
        <v>2.86%, CPI</v>
      </c>
      <c r="S62" s="83" t="str">
        <f t="shared" si="27"/>
        <v>0.00%</v>
      </c>
      <c r="T62" s="2">
        <f t="shared" si="32"/>
        <v>0</v>
      </c>
      <c r="U62" s="81" t="str">
        <f>TEXT('MYP Assumptions'!H72,"0.00%")&amp;", CPI"</f>
        <v>2.73%, CPI</v>
      </c>
      <c r="W62" s="83" t="str">
        <f t="shared" si="28"/>
        <v>0.00%</v>
      </c>
      <c r="X62" s="2">
        <f t="shared" si="33"/>
        <v>0</v>
      </c>
      <c r="Y62" s="81" t="str">
        <f>TEXT('MYP Assumptions'!I72,"0.00%")&amp;", CPI"</f>
        <v>2.73%, CPI</v>
      </c>
      <c r="AA62" s="83" t="str">
        <f t="shared" si="29"/>
        <v>0.00%</v>
      </c>
      <c r="AB62" s="2">
        <f t="shared" si="34"/>
        <v>0</v>
      </c>
      <c r="AC62" s="81" t="str">
        <f>TEXT('MYP Assumptions'!J72,"0.00%")&amp;", CPI"</f>
        <v>2.73%, CPI</v>
      </c>
    </row>
    <row r="63" spans="1:29" hidden="1" x14ac:dyDescent="0.25">
      <c r="A63" s="153"/>
      <c r="B63" s="1326"/>
      <c r="D63" s="2">
        <v>0</v>
      </c>
      <c r="E63" s="1249"/>
      <c r="F63" s="2"/>
      <c r="G63" s="1527" t="str">
        <f t="shared" si="23"/>
        <v>0.00%</v>
      </c>
      <c r="H63" s="2">
        <f t="shared" si="24"/>
        <v>0</v>
      </c>
      <c r="I63" s="1240" t="str">
        <f>TEXT('MYP Assumptions'!E72,"0.00%")&amp;", CPI"</f>
        <v>3.11%, CPI</v>
      </c>
      <c r="J63" s="66"/>
      <c r="K63" s="1527" t="str">
        <f t="shared" si="25"/>
        <v>0.00%</v>
      </c>
      <c r="L63" s="2">
        <f t="shared" si="30"/>
        <v>0</v>
      </c>
      <c r="M63" s="1240" t="str">
        <f>TEXT('MYP Assumptions'!F72,"0.00%")&amp;", CPI"</f>
        <v>3.19%, CPI</v>
      </c>
      <c r="O63" s="1527" t="str">
        <f t="shared" si="26"/>
        <v>0.00%</v>
      </c>
      <c r="P63" s="2">
        <f t="shared" si="31"/>
        <v>0</v>
      </c>
      <c r="Q63" s="1240" t="str">
        <f>TEXT('MYP Assumptions'!G72,"0.00%")&amp;", CPI"</f>
        <v>2.86%, CPI</v>
      </c>
      <c r="S63" s="83" t="str">
        <f t="shared" si="27"/>
        <v>0.00%</v>
      </c>
      <c r="T63" s="2">
        <f t="shared" si="32"/>
        <v>0</v>
      </c>
      <c r="U63" s="81" t="str">
        <f>TEXT('MYP Assumptions'!H72,"0.00%")&amp;", CPI"</f>
        <v>2.73%, CPI</v>
      </c>
      <c r="W63" s="83" t="str">
        <f t="shared" si="28"/>
        <v>0.00%</v>
      </c>
      <c r="X63" s="2">
        <f t="shared" si="33"/>
        <v>0</v>
      </c>
      <c r="Y63" s="81" t="str">
        <f>TEXT('MYP Assumptions'!I72,"0.00%")&amp;", CPI"</f>
        <v>2.73%, CPI</v>
      </c>
      <c r="AA63" s="83" t="str">
        <f t="shared" si="29"/>
        <v>0.00%</v>
      </c>
      <c r="AB63" s="2">
        <f t="shared" si="34"/>
        <v>0</v>
      </c>
      <c r="AC63" s="81" t="str">
        <f>TEXT('MYP Assumptions'!J72,"0.00%")&amp;", CPI"</f>
        <v>2.73%, CPI</v>
      </c>
    </row>
    <row r="64" spans="1:29" hidden="1" x14ac:dyDescent="0.25">
      <c r="A64" s="153"/>
      <c r="B64" s="1326"/>
      <c r="D64" s="2">
        <v>0</v>
      </c>
      <c r="E64" s="1249"/>
      <c r="F64" s="2"/>
      <c r="G64" s="1527" t="str">
        <f t="shared" si="23"/>
        <v>0.00%</v>
      </c>
      <c r="H64" s="2">
        <f t="shared" si="24"/>
        <v>0</v>
      </c>
      <c r="I64" s="1240" t="str">
        <f>TEXT('MYP Assumptions'!E72,"0.00%")&amp;", CPI"</f>
        <v>3.11%, CPI</v>
      </c>
      <c r="J64" s="66"/>
      <c r="K64" s="1527" t="str">
        <f t="shared" si="25"/>
        <v>0.00%</v>
      </c>
      <c r="L64" s="2">
        <f t="shared" si="30"/>
        <v>0</v>
      </c>
      <c r="M64" s="1240" t="str">
        <f>TEXT('MYP Assumptions'!F72,"0.00%")&amp;", CPI"</f>
        <v>3.19%, CPI</v>
      </c>
      <c r="O64" s="1527" t="str">
        <f t="shared" si="26"/>
        <v>0.00%</v>
      </c>
      <c r="P64" s="2">
        <f t="shared" si="31"/>
        <v>0</v>
      </c>
      <c r="Q64" s="1240" t="str">
        <f>TEXT('MYP Assumptions'!G72,"0.00%")&amp;", CPI"</f>
        <v>2.86%, CPI</v>
      </c>
      <c r="S64" s="83" t="str">
        <f t="shared" si="27"/>
        <v>0.00%</v>
      </c>
      <c r="T64" s="2">
        <f t="shared" si="32"/>
        <v>0</v>
      </c>
      <c r="U64" s="81" t="str">
        <f>TEXT('MYP Assumptions'!H72,"0.00%")&amp;", CPI"</f>
        <v>2.73%, CPI</v>
      </c>
      <c r="W64" s="83" t="str">
        <f t="shared" si="28"/>
        <v>0.00%</v>
      </c>
      <c r="X64" s="2">
        <f t="shared" si="33"/>
        <v>0</v>
      </c>
      <c r="Y64" s="81" t="str">
        <f>TEXT('MYP Assumptions'!I72,"0.00%")&amp;", CPI"</f>
        <v>2.73%, CPI</v>
      </c>
      <c r="AA64" s="83" t="str">
        <f t="shared" si="29"/>
        <v>0.00%</v>
      </c>
      <c r="AB64" s="2">
        <f t="shared" si="34"/>
        <v>0</v>
      </c>
      <c r="AC64" s="81" t="str">
        <f>TEXT('MYP Assumptions'!J72,"0.00%")&amp;", CPI"</f>
        <v>2.73%, CPI</v>
      </c>
    </row>
    <row r="65" spans="1:29" hidden="1" x14ac:dyDescent="0.25">
      <c r="A65" s="153"/>
      <c r="B65" s="1326"/>
      <c r="C65" s="1328"/>
      <c r="D65" s="2">
        <v>0</v>
      </c>
      <c r="E65" s="1249"/>
      <c r="F65" s="2"/>
      <c r="G65" s="1527" t="str">
        <f t="shared" si="23"/>
        <v>0.00%</v>
      </c>
      <c r="H65" s="2">
        <f t="shared" si="24"/>
        <v>0</v>
      </c>
      <c r="I65" s="1240" t="str">
        <f>TEXT('MYP Assumptions'!E72,"0.00%")&amp;", CPI"</f>
        <v>3.11%, CPI</v>
      </c>
      <c r="J65" s="66"/>
      <c r="K65" s="1527" t="str">
        <f t="shared" si="25"/>
        <v>0.00%</v>
      </c>
      <c r="L65" s="2">
        <f t="shared" si="30"/>
        <v>0</v>
      </c>
      <c r="M65" s="1240" t="str">
        <f>TEXT('MYP Assumptions'!F72,"0.00%")&amp;", CPI"</f>
        <v>3.19%, CPI</v>
      </c>
      <c r="O65" s="1527" t="str">
        <f t="shared" si="26"/>
        <v>0.00%</v>
      </c>
      <c r="P65" s="2">
        <f t="shared" si="31"/>
        <v>0</v>
      </c>
      <c r="Q65" s="1240" t="str">
        <f>TEXT('MYP Assumptions'!G72,"0.00%")&amp;", CPI"</f>
        <v>2.86%, CPI</v>
      </c>
      <c r="S65" s="83" t="str">
        <f t="shared" si="27"/>
        <v>0.00%</v>
      </c>
      <c r="T65" s="2">
        <f t="shared" si="32"/>
        <v>0</v>
      </c>
      <c r="U65" s="81" t="str">
        <f>TEXT('MYP Assumptions'!H72,"0.00%")&amp;", CPI"</f>
        <v>2.73%, CPI</v>
      </c>
      <c r="W65" s="83" t="str">
        <f t="shared" si="28"/>
        <v>0.00%</v>
      </c>
      <c r="X65" s="2">
        <f t="shared" si="33"/>
        <v>0</v>
      </c>
      <c r="Y65" s="81" t="str">
        <f>TEXT('MYP Assumptions'!I72,"0.00%")&amp;", CPI"</f>
        <v>2.73%, CPI</v>
      </c>
      <c r="AA65" s="83" t="str">
        <f t="shared" si="29"/>
        <v>0.00%</v>
      </c>
      <c r="AB65" s="2">
        <f t="shared" si="34"/>
        <v>0</v>
      </c>
      <c r="AC65" s="81" t="str">
        <f>TEXT('MYP Assumptions'!J72,"0.00%")&amp;", CPI"</f>
        <v>2.73%, CPI</v>
      </c>
    </row>
    <row r="66" spans="1:29" hidden="1" x14ac:dyDescent="0.25">
      <c r="A66" s="154"/>
      <c r="B66" s="1243"/>
      <c r="D66" s="8">
        <f>SUM(D59:D65)</f>
        <v>0</v>
      </c>
      <c r="E66" s="1249"/>
      <c r="F66" s="2"/>
      <c r="G66" s="1527" t="str">
        <f t="shared" si="23"/>
        <v>0.00%</v>
      </c>
      <c r="H66" s="8">
        <f>SUM(H59:H65)</f>
        <v>0</v>
      </c>
      <c r="I66" s="1258"/>
      <c r="J66" s="29"/>
      <c r="K66" s="1527" t="str">
        <f t="shared" si="25"/>
        <v>0.00%</v>
      </c>
      <c r="L66" s="8">
        <f>SUM(L59:L65)</f>
        <v>0</v>
      </c>
      <c r="M66" s="1335"/>
      <c r="O66" s="1527" t="str">
        <f t="shared" si="26"/>
        <v>0.00%</v>
      </c>
      <c r="P66" s="8">
        <f>SUM(P59:P65)</f>
        <v>0</v>
      </c>
      <c r="Q66" s="1335"/>
      <c r="S66" s="83" t="str">
        <f t="shared" si="27"/>
        <v>0.00%</v>
      </c>
      <c r="T66" s="8">
        <f>SUM(T59:T65)</f>
        <v>0</v>
      </c>
      <c r="U66" s="73"/>
      <c r="W66" s="83" t="str">
        <f t="shared" si="28"/>
        <v>0.00%</v>
      </c>
      <c r="X66" s="8">
        <f>SUM(X59:X65)</f>
        <v>0</v>
      </c>
      <c r="Y66" s="73"/>
      <c r="AA66" s="83" t="str">
        <f t="shared" si="29"/>
        <v>0.00%</v>
      </c>
      <c r="AB66" s="8">
        <f>SUM(AB59:AB65)</f>
        <v>0</v>
      </c>
      <c r="AC66" s="73"/>
    </row>
    <row r="67" spans="1:29" hidden="1" x14ac:dyDescent="0.25">
      <c r="A67" s="153"/>
      <c r="E67" s="1249"/>
      <c r="F67" s="2"/>
      <c r="H67" s="2"/>
      <c r="I67" s="1257"/>
      <c r="J67" s="66"/>
      <c r="L67" s="2"/>
      <c r="M67" s="1335"/>
      <c r="Q67" s="1335"/>
      <c r="T67" s="2"/>
      <c r="U67" s="73"/>
      <c r="X67" s="2"/>
      <c r="Y67" s="73"/>
      <c r="AB67" s="2"/>
      <c r="AC67" s="73"/>
    </row>
    <row r="68" spans="1:29" s="4" customFormat="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x14ac:dyDescent="0.25">
      <c r="A69" s="153"/>
      <c r="B69" s="1326">
        <v>5814</v>
      </c>
      <c r="C69" s="1243" t="s">
        <v>4</v>
      </c>
      <c r="D69" s="2">
        <v>750662</v>
      </c>
      <c r="E69" s="1249" t="s">
        <v>280</v>
      </c>
      <c r="F69" s="2"/>
      <c r="G69" s="1527">
        <f t="shared" ref="G69:G74" si="35">IF(D69=0,"0.00%",(H69-D69)/D69)</f>
        <v>-1</v>
      </c>
      <c r="H69" s="2">
        <v>0</v>
      </c>
      <c r="I69" s="1240"/>
      <c r="J69" s="66"/>
      <c r="K69" s="1527" t="str">
        <f t="shared" ref="K69:K82" si="36">IF(H69=0,"0.00%",(L69-H69)/H69)</f>
        <v>0.00%</v>
      </c>
      <c r="L69" s="2">
        <v>0</v>
      </c>
      <c r="M69" s="1240"/>
      <c r="O69" s="1527" t="str">
        <f t="shared" ref="O69:O82" si="37">IF(L69=0,"0.00%",(P69-L69)/L69)</f>
        <v>0.00%</v>
      </c>
      <c r="P69" s="2">
        <v>0</v>
      </c>
      <c r="Q69" s="1240"/>
      <c r="S69" s="83" t="str">
        <f t="shared" ref="S69:S82" si="38">IF(P69=0,"0.00%",(T69-P69)/P69)</f>
        <v>0.00%</v>
      </c>
      <c r="T69" s="2">
        <f>ROUND(P69*(LEFT(U69,5)+1),0)</f>
        <v>0</v>
      </c>
      <c r="U69" s="81" t="str">
        <f>TEXT('MYP Assumptions'!H72,"0.00%")&amp;", CPI"</f>
        <v>2.73%, CPI</v>
      </c>
      <c r="W69" s="83" t="str">
        <f t="shared" ref="W69:W82" si="39">IF(T69=0,"0.00%",(X69-T69)/T69)</f>
        <v>0.00%</v>
      </c>
      <c r="X69" s="2">
        <f>ROUND(T69*(LEFT(Y69,5)+1),0)</f>
        <v>0</v>
      </c>
      <c r="Y69" s="81" t="str">
        <f>TEXT('MYP Assumptions'!I72,"0.00%")&amp;", CPI"</f>
        <v>2.73%, CPI</v>
      </c>
      <c r="AA69" s="83" t="str">
        <f t="shared" ref="AA69:AA82" si="40">IF(X69=0,"0.00%",(AB69-X69)/X69)</f>
        <v>0.00%</v>
      </c>
      <c r="AB69" s="2">
        <f>ROUND(X69*(LEFT(AC69,5)+1),0)</f>
        <v>0</v>
      </c>
      <c r="AC69" s="81" t="str">
        <f>TEXT('MYP Assumptions'!J72,"0.00%")&amp;", CPI"</f>
        <v>2.73%, CPI</v>
      </c>
    </row>
    <row r="70" spans="1:29" hidden="1" x14ac:dyDescent="0.25">
      <c r="A70" s="153"/>
      <c r="B70" s="1326"/>
      <c r="D70" s="2">
        <v>0</v>
      </c>
      <c r="E70" s="1249"/>
      <c r="F70" s="2"/>
      <c r="G70" s="1527" t="str">
        <f t="shared" si="35"/>
        <v>0.00%</v>
      </c>
      <c r="H70" s="2">
        <f>ROUND(D70*(LEFT(I70,5)+1),0)</f>
        <v>0</v>
      </c>
      <c r="I70" s="1240" t="str">
        <f>TEXT('MYP Assumptions'!E72,"0.00%")&amp;", CPI"</f>
        <v>3.11%, CPI</v>
      </c>
      <c r="J70" s="66"/>
      <c r="K70" s="1527" t="str">
        <f t="shared" si="36"/>
        <v>0.00%</v>
      </c>
      <c r="L70" s="2">
        <f t="shared" ref="L70:L81" si="41">ROUND(H70*(LEFT(M70,5)+1),0)</f>
        <v>0</v>
      </c>
      <c r="M70" s="1240" t="str">
        <f>TEXT('MYP Assumptions'!F72,"0.00%")&amp;", CPI"</f>
        <v>3.19%, CPI</v>
      </c>
      <c r="O70" s="1527" t="str">
        <f t="shared" si="37"/>
        <v>0.00%</v>
      </c>
      <c r="P70" s="2">
        <f t="shared" ref="P70:P81" si="42">ROUND(L70*(LEFT(Q70,5)+1),0)</f>
        <v>0</v>
      </c>
      <c r="Q70" s="1240" t="str">
        <f>TEXT('MYP Assumptions'!G72,"0.00%")&amp;", CPI"</f>
        <v>2.86%, CPI</v>
      </c>
      <c r="S70" s="83" t="str">
        <f t="shared" si="38"/>
        <v>0.00%</v>
      </c>
      <c r="T70" s="2">
        <f t="shared" ref="T70:T81" si="43">ROUND(P70*(LEFT(U70,5)+1),0)</f>
        <v>0</v>
      </c>
      <c r="U70" s="81" t="str">
        <f>TEXT('MYP Assumptions'!H72,"0.00%")&amp;", CPI"</f>
        <v>2.73%, CPI</v>
      </c>
      <c r="W70" s="83" t="str">
        <f t="shared" si="39"/>
        <v>0.00%</v>
      </c>
      <c r="X70" s="2">
        <f t="shared" ref="X70:X81" si="44">ROUND(T70*(LEFT(Y70,5)+1),0)</f>
        <v>0</v>
      </c>
      <c r="Y70" s="81" t="str">
        <f>TEXT('MYP Assumptions'!I72,"0.00%")&amp;", CPI"</f>
        <v>2.73%, CPI</v>
      </c>
      <c r="AA70" s="83" t="str">
        <f t="shared" si="40"/>
        <v>0.00%</v>
      </c>
      <c r="AB70" s="2">
        <f t="shared" ref="AB70:AB81" si="45">ROUND(X70*(LEFT(AC70,5)+1),0)</f>
        <v>0</v>
      </c>
      <c r="AC70" s="81" t="str">
        <f>TEXT('MYP Assumptions'!J72,"0.00%")&amp;", CPI"</f>
        <v>2.73%, CPI</v>
      </c>
    </row>
    <row r="71" spans="1:29" hidden="1" x14ac:dyDescent="0.25">
      <c r="A71" s="153"/>
      <c r="B71" s="1326"/>
      <c r="D71" s="2">
        <v>0</v>
      </c>
      <c r="E71" s="1249"/>
      <c r="F71" s="2"/>
      <c r="G71" s="1527" t="str">
        <f t="shared" si="35"/>
        <v>0.00%</v>
      </c>
      <c r="H71" s="2">
        <f t="shared" ref="H71:H76" si="46">ROUND(D71*(LEFT(I71,5)+1),0)</f>
        <v>0</v>
      </c>
      <c r="I71" s="1240" t="str">
        <f>TEXT('MYP Assumptions'!E72,"0.00%")&amp;", CPI"</f>
        <v>3.11%, CPI</v>
      </c>
      <c r="J71" s="66"/>
      <c r="K71" s="1527" t="str">
        <f t="shared" si="36"/>
        <v>0.00%</v>
      </c>
      <c r="L71" s="2">
        <f t="shared" si="41"/>
        <v>0</v>
      </c>
      <c r="M71" s="1240" t="str">
        <f>TEXT('MYP Assumptions'!F72,"0.00%")&amp;", CPI"</f>
        <v>3.19%, CPI</v>
      </c>
      <c r="O71" s="1527" t="str">
        <f t="shared" si="37"/>
        <v>0.00%</v>
      </c>
      <c r="P71" s="2">
        <f t="shared" si="42"/>
        <v>0</v>
      </c>
      <c r="Q71" s="1240" t="str">
        <f>TEXT('MYP Assumptions'!G72,"0.00%")&amp;", CPI"</f>
        <v>2.86%, CPI</v>
      </c>
      <c r="S71" s="83" t="str">
        <f t="shared" si="38"/>
        <v>0.00%</v>
      </c>
      <c r="T71" s="2">
        <f t="shared" si="43"/>
        <v>0</v>
      </c>
      <c r="U71" s="81" t="str">
        <f>TEXT('MYP Assumptions'!H72,"0.00%")&amp;", CPI"</f>
        <v>2.73%, CPI</v>
      </c>
      <c r="W71" s="83" t="str">
        <f t="shared" si="39"/>
        <v>0.00%</v>
      </c>
      <c r="X71" s="2">
        <f t="shared" si="44"/>
        <v>0</v>
      </c>
      <c r="Y71" s="81" t="str">
        <f>TEXT('MYP Assumptions'!I72,"0.00%")&amp;", CPI"</f>
        <v>2.73%, CPI</v>
      </c>
      <c r="AA71" s="83" t="str">
        <f t="shared" si="40"/>
        <v>0.00%</v>
      </c>
      <c r="AB71" s="2">
        <f t="shared" si="45"/>
        <v>0</v>
      </c>
      <c r="AC71" s="81" t="str">
        <f>TEXT('MYP Assumptions'!J72,"0.00%")&amp;", CPI"</f>
        <v>2.73%, CPI</v>
      </c>
    </row>
    <row r="72" spans="1:29" hidden="1" x14ac:dyDescent="0.25">
      <c r="A72" s="153"/>
      <c r="B72" s="1326"/>
      <c r="D72" s="2">
        <v>0</v>
      </c>
      <c r="E72" s="1249"/>
      <c r="F72" s="2"/>
      <c r="G72" s="1527" t="str">
        <f t="shared" si="35"/>
        <v>0.00%</v>
      </c>
      <c r="H72" s="2">
        <f t="shared" si="46"/>
        <v>0</v>
      </c>
      <c r="I72" s="1240" t="str">
        <f>TEXT('MYP Assumptions'!E72,"0.00%")&amp;", CPI"</f>
        <v>3.11%, CPI</v>
      </c>
      <c r="J72" s="66"/>
      <c r="K72" s="1527" t="str">
        <f t="shared" si="36"/>
        <v>0.00%</v>
      </c>
      <c r="L72" s="2">
        <f t="shared" si="41"/>
        <v>0</v>
      </c>
      <c r="M72" s="1240" t="str">
        <f>TEXT('MYP Assumptions'!F72,"0.00%")&amp;", CPI"</f>
        <v>3.19%, CPI</v>
      </c>
      <c r="O72" s="1527" t="str">
        <f t="shared" si="37"/>
        <v>0.00%</v>
      </c>
      <c r="P72" s="2">
        <f t="shared" si="42"/>
        <v>0</v>
      </c>
      <c r="Q72" s="1240" t="str">
        <f>TEXT('MYP Assumptions'!G72,"0.00%")&amp;", CPI"</f>
        <v>2.86%, CPI</v>
      </c>
      <c r="S72" s="83" t="str">
        <f t="shared" si="38"/>
        <v>0.00%</v>
      </c>
      <c r="T72" s="2">
        <f t="shared" si="43"/>
        <v>0</v>
      </c>
      <c r="U72" s="81" t="str">
        <f>TEXT('MYP Assumptions'!H72,"0.00%")&amp;", CPI"</f>
        <v>2.73%, CPI</v>
      </c>
      <c r="W72" s="83" t="str">
        <f t="shared" si="39"/>
        <v>0.00%</v>
      </c>
      <c r="X72" s="2">
        <f t="shared" si="44"/>
        <v>0</v>
      </c>
      <c r="Y72" s="81" t="str">
        <f>TEXT('MYP Assumptions'!I72,"0.00%")&amp;", CPI"</f>
        <v>2.73%, CPI</v>
      </c>
      <c r="AA72" s="83" t="str">
        <f t="shared" si="40"/>
        <v>0.00%</v>
      </c>
      <c r="AB72" s="2">
        <f t="shared" si="45"/>
        <v>0</v>
      </c>
      <c r="AC72" s="81" t="str">
        <f>TEXT('MYP Assumptions'!J72,"0.00%")&amp;", CPI"</f>
        <v>2.73%, CPI</v>
      </c>
    </row>
    <row r="73" spans="1:29" hidden="1" x14ac:dyDescent="0.25">
      <c r="A73" s="153"/>
      <c r="B73" s="1326"/>
      <c r="D73" s="2">
        <v>0</v>
      </c>
      <c r="E73" s="1249"/>
      <c r="F73" s="2"/>
      <c r="G73" s="1527" t="str">
        <f t="shared" si="35"/>
        <v>0.00%</v>
      </c>
      <c r="H73" s="2">
        <f t="shared" si="46"/>
        <v>0</v>
      </c>
      <c r="I73" s="1240" t="str">
        <f>TEXT('MYP Assumptions'!E72,"0.00%")&amp;", CPI"</f>
        <v>3.11%, CPI</v>
      </c>
      <c r="J73" s="66"/>
      <c r="K73" s="1527" t="str">
        <f t="shared" si="36"/>
        <v>0.00%</v>
      </c>
      <c r="L73" s="2">
        <f t="shared" si="41"/>
        <v>0</v>
      </c>
      <c r="M73" s="1240" t="str">
        <f>TEXT('MYP Assumptions'!F72,"0.00%")&amp;", CPI"</f>
        <v>3.19%, CPI</v>
      </c>
      <c r="O73" s="1527" t="str">
        <f t="shared" si="37"/>
        <v>0.00%</v>
      </c>
      <c r="P73" s="2">
        <f t="shared" si="42"/>
        <v>0</v>
      </c>
      <c r="Q73" s="1240" t="str">
        <f>TEXT('MYP Assumptions'!G72,"0.00%")&amp;", CPI"</f>
        <v>2.86%, CPI</v>
      </c>
      <c r="S73" s="83" t="str">
        <f t="shared" si="38"/>
        <v>0.00%</v>
      </c>
      <c r="T73" s="2">
        <f t="shared" si="43"/>
        <v>0</v>
      </c>
      <c r="U73" s="81" t="str">
        <f>TEXT('MYP Assumptions'!H72,"0.00%")&amp;", CPI"</f>
        <v>2.73%, CPI</v>
      </c>
      <c r="W73" s="83" t="str">
        <f t="shared" si="39"/>
        <v>0.00%</v>
      </c>
      <c r="X73" s="2">
        <f t="shared" si="44"/>
        <v>0</v>
      </c>
      <c r="Y73" s="81" t="str">
        <f>TEXT('MYP Assumptions'!I72,"0.00%")&amp;", CPI"</f>
        <v>2.73%, CPI</v>
      </c>
      <c r="AA73" s="83" t="str">
        <f t="shared" si="40"/>
        <v>0.00%</v>
      </c>
      <c r="AB73" s="2">
        <f t="shared" si="45"/>
        <v>0</v>
      </c>
      <c r="AC73" s="81" t="str">
        <f>TEXT('MYP Assumptions'!J72,"0.00%")&amp;", CPI"</f>
        <v>2.73%, CPI</v>
      </c>
    </row>
    <row r="74" spans="1:29" hidden="1" x14ac:dyDescent="0.25">
      <c r="A74" s="153"/>
      <c r="B74" s="1326"/>
      <c r="D74" s="2">
        <v>0</v>
      </c>
      <c r="E74" s="1249"/>
      <c r="F74" s="2"/>
      <c r="G74" s="1527" t="str">
        <f t="shared" si="35"/>
        <v>0.00%</v>
      </c>
      <c r="H74" s="2">
        <f t="shared" si="46"/>
        <v>0</v>
      </c>
      <c r="I74" s="1240" t="str">
        <f>TEXT('MYP Assumptions'!E72,"0.00%")&amp;", CPI"</f>
        <v>3.11%, CPI</v>
      </c>
      <c r="J74" s="66"/>
      <c r="K74" s="1527" t="str">
        <f t="shared" si="36"/>
        <v>0.00%</v>
      </c>
      <c r="L74" s="2">
        <f t="shared" si="41"/>
        <v>0</v>
      </c>
      <c r="M74" s="1240" t="str">
        <f>TEXT('MYP Assumptions'!F72,"0.00%")&amp;", CPI"</f>
        <v>3.19%, CPI</v>
      </c>
      <c r="O74" s="1527" t="str">
        <f t="shared" si="37"/>
        <v>0.00%</v>
      </c>
      <c r="P74" s="2">
        <f t="shared" si="42"/>
        <v>0</v>
      </c>
      <c r="Q74" s="1240" t="str">
        <f>TEXT('MYP Assumptions'!G72,"0.00%")&amp;", CPI"</f>
        <v>2.86%, CPI</v>
      </c>
      <c r="S74" s="83" t="str">
        <f t="shared" si="38"/>
        <v>0.00%</v>
      </c>
      <c r="T74" s="2">
        <f t="shared" si="43"/>
        <v>0</v>
      </c>
      <c r="U74" s="81" t="str">
        <f>TEXT('MYP Assumptions'!H72,"0.00%")&amp;", CPI"</f>
        <v>2.73%, CPI</v>
      </c>
      <c r="W74" s="83" t="str">
        <f t="shared" si="39"/>
        <v>0.00%</v>
      </c>
      <c r="X74" s="2">
        <f t="shared" si="44"/>
        <v>0</v>
      </c>
      <c r="Y74" s="81" t="str">
        <f>TEXT('MYP Assumptions'!I72,"0.00%")&amp;", CPI"</f>
        <v>2.73%, CPI</v>
      </c>
      <c r="AA74" s="83" t="str">
        <f t="shared" si="40"/>
        <v>0.00%</v>
      </c>
      <c r="AB74" s="2">
        <f t="shared" si="45"/>
        <v>0</v>
      </c>
      <c r="AC74" s="81" t="str">
        <f>TEXT('MYP Assumptions'!J72,"0.00%")&amp;", CPI"</f>
        <v>2.73%, CPI</v>
      </c>
    </row>
    <row r="75" spans="1:29" hidden="1" x14ac:dyDescent="0.25">
      <c r="A75" s="153"/>
      <c r="B75" s="1326"/>
      <c r="D75" s="2">
        <v>0</v>
      </c>
      <c r="E75" s="1249"/>
      <c r="F75" s="2"/>
      <c r="G75" s="1527" t="str">
        <f>IF(D75=0,"0.00%",(H75-D75)/D75)</f>
        <v>0.00%</v>
      </c>
      <c r="H75" s="2">
        <f t="shared" si="46"/>
        <v>0</v>
      </c>
      <c r="I75" s="1240" t="str">
        <f>TEXT('MYP Assumptions'!E72,"0.00%")&amp;", CPI"</f>
        <v>3.11%, CPI</v>
      </c>
      <c r="J75" s="66"/>
      <c r="K75" s="1527" t="str">
        <f t="shared" si="36"/>
        <v>0.00%</v>
      </c>
      <c r="L75" s="2">
        <f t="shared" si="41"/>
        <v>0</v>
      </c>
      <c r="M75" s="1240" t="str">
        <f>TEXT('MYP Assumptions'!F72,"0.00%")&amp;", CPI"</f>
        <v>3.19%, CPI</v>
      </c>
      <c r="O75" s="1527" t="str">
        <f t="shared" si="37"/>
        <v>0.00%</v>
      </c>
      <c r="P75" s="2">
        <f t="shared" si="42"/>
        <v>0</v>
      </c>
      <c r="Q75" s="1240" t="str">
        <f>TEXT('MYP Assumptions'!G72,"0.00%")&amp;", CPI"</f>
        <v>2.86%, CPI</v>
      </c>
      <c r="S75" s="83" t="str">
        <f t="shared" si="38"/>
        <v>0.00%</v>
      </c>
      <c r="T75" s="2">
        <f t="shared" si="43"/>
        <v>0</v>
      </c>
      <c r="U75" s="81" t="str">
        <f>TEXT('MYP Assumptions'!H72,"0.00%")&amp;", CPI"</f>
        <v>2.73%, CPI</v>
      </c>
      <c r="W75" s="83" t="str">
        <f t="shared" si="39"/>
        <v>0.00%</v>
      </c>
      <c r="X75" s="2">
        <f t="shared" si="44"/>
        <v>0</v>
      </c>
      <c r="Y75" s="81" t="str">
        <f>TEXT('MYP Assumptions'!I72,"0.00%")&amp;", CPI"</f>
        <v>2.73%, CPI</v>
      </c>
      <c r="AA75" s="83" t="str">
        <f t="shared" si="40"/>
        <v>0.00%</v>
      </c>
      <c r="AB75" s="2">
        <f t="shared" si="45"/>
        <v>0</v>
      </c>
      <c r="AC75" s="81" t="str">
        <f>TEXT('MYP Assumptions'!J72,"0.00%")&amp;", CPI"</f>
        <v>2.73%, CPI</v>
      </c>
    </row>
    <row r="76" spans="1:29" hidden="1" x14ac:dyDescent="0.25">
      <c r="A76" s="153"/>
      <c r="B76" s="1326"/>
      <c r="D76" s="2">
        <v>0</v>
      </c>
      <c r="E76" s="1249"/>
      <c r="F76" s="2"/>
      <c r="G76" s="1527" t="str">
        <f t="shared" ref="G76:G82" si="47">IF(D76=0,"0.00%",(H76-D76)/D76)</f>
        <v>0.00%</v>
      </c>
      <c r="H76" s="2">
        <f t="shared" si="46"/>
        <v>0</v>
      </c>
      <c r="I76" s="1240" t="str">
        <f>TEXT('MYP Assumptions'!E72,"0.00%")&amp;", CPI"</f>
        <v>3.11%, CPI</v>
      </c>
      <c r="J76" s="66"/>
      <c r="K76" s="1527" t="str">
        <f t="shared" si="36"/>
        <v>0.00%</v>
      </c>
      <c r="L76" s="2">
        <f t="shared" si="41"/>
        <v>0</v>
      </c>
      <c r="M76" s="1240" t="str">
        <f>TEXT('MYP Assumptions'!F72,"0.00%")&amp;", CPI"</f>
        <v>3.19%, CPI</v>
      </c>
      <c r="O76" s="1527" t="str">
        <f t="shared" si="37"/>
        <v>0.00%</v>
      </c>
      <c r="P76" s="2">
        <f t="shared" si="42"/>
        <v>0</v>
      </c>
      <c r="Q76" s="1240" t="str">
        <f>TEXT('MYP Assumptions'!G72,"0.00%")&amp;", CPI"</f>
        <v>2.86%, CPI</v>
      </c>
      <c r="S76" s="83" t="str">
        <f t="shared" si="38"/>
        <v>0.00%</v>
      </c>
      <c r="T76" s="2">
        <f t="shared" si="43"/>
        <v>0</v>
      </c>
      <c r="U76" s="81" t="str">
        <f>TEXT('MYP Assumptions'!H72,"0.00%")&amp;", CPI"</f>
        <v>2.73%, CPI</v>
      </c>
      <c r="W76" s="83" t="str">
        <f t="shared" si="39"/>
        <v>0.00%</v>
      </c>
      <c r="X76" s="2">
        <f t="shared" si="44"/>
        <v>0</v>
      </c>
      <c r="Y76" s="81" t="str">
        <f>TEXT('MYP Assumptions'!I72,"0.00%")&amp;", CPI"</f>
        <v>2.73%, CPI</v>
      </c>
      <c r="AA76" s="83" t="str">
        <f t="shared" si="40"/>
        <v>0.00%</v>
      </c>
      <c r="AB76" s="2">
        <f t="shared" si="45"/>
        <v>0</v>
      </c>
      <c r="AC76" s="81" t="str">
        <f>TEXT('MYP Assumptions'!J72,"0.00%")&amp;", CPI"</f>
        <v>2.73%, CPI</v>
      </c>
    </row>
    <row r="77" spans="1:29" hidden="1" x14ac:dyDescent="0.25">
      <c r="A77" s="153"/>
      <c r="B77" s="1326"/>
      <c r="D77" s="2">
        <v>0</v>
      </c>
      <c r="E77" s="1249"/>
      <c r="F77" s="2"/>
      <c r="G77" s="1527" t="str">
        <f t="shared" si="47"/>
        <v>0.00%</v>
      </c>
      <c r="H77" s="2">
        <f>ROUND(D77*(LEFT(I77,5)+1),0)</f>
        <v>0</v>
      </c>
      <c r="I77" s="1240" t="str">
        <f>TEXT('MYP Assumptions'!E72,"0.00%")&amp;", CPI"</f>
        <v>3.11%, CPI</v>
      </c>
      <c r="J77" s="66"/>
      <c r="K77" s="1527" t="str">
        <f t="shared" si="36"/>
        <v>0.00%</v>
      </c>
      <c r="L77" s="2">
        <f t="shared" si="41"/>
        <v>0</v>
      </c>
      <c r="M77" s="1240" t="str">
        <f>TEXT('MYP Assumptions'!F72,"0.00%")&amp;", CPI"</f>
        <v>3.19%, CPI</v>
      </c>
      <c r="O77" s="1527" t="str">
        <f t="shared" si="37"/>
        <v>0.00%</v>
      </c>
      <c r="P77" s="2">
        <f t="shared" si="42"/>
        <v>0</v>
      </c>
      <c r="Q77" s="1240" t="str">
        <f>TEXT('MYP Assumptions'!G72,"0.00%")&amp;", CPI"</f>
        <v>2.86%, CPI</v>
      </c>
      <c r="S77" s="83" t="str">
        <f t="shared" si="38"/>
        <v>0.00%</v>
      </c>
      <c r="T77" s="2">
        <f t="shared" si="43"/>
        <v>0</v>
      </c>
      <c r="U77" s="81" t="str">
        <f>TEXT('MYP Assumptions'!H72,"0.00%")&amp;", CPI"</f>
        <v>2.73%, CPI</v>
      </c>
      <c r="W77" s="83" t="str">
        <f t="shared" si="39"/>
        <v>0.00%</v>
      </c>
      <c r="X77" s="2">
        <f t="shared" si="44"/>
        <v>0</v>
      </c>
      <c r="Y77" s="81" t="str">
        <f>TEXT('MYP Assumptions'!I72,"0.00%")&amp;", CPI"</f>
        <v>2.73%, CPI</v>
      </c>
      <c r="AA77" s="83" t="str">
        <f t="shared" si="40"/>
        <v>0.00%</v>
      </c>
      <c r="AB77" s="2">
        <f t="shared" si="45"/>
        <v>0</v>
      </c>
      <c r="AC77" s="81" t="str">
        <f>TEXT('MYP Assumptions'!J72,"0.00%")&amp;", CPI"</f>
        <v>2.73%, CPI</v>
      </c>
    </row>
    <row r="78" spans="1:29" hidden="1" x14ac:dyDescent="0.25">
      <c r="A78" s="153"/>
      <c r="B78" s="1326"/>
      <c r="D78" s="2">
        <v>0</v>
      </c>
      <c r="E78" s="1249"/>
      <c r="F78" s="2"/>
      <c r="G78" s="1527" t="str">
        <f t="shared" si="47"/>
        <v>0.00%</v>
      </c>
      <c r="H78" s="2">
        <f>ROUND(D78*(LEFT(I78,5)+1),0)</f>
        <v>0</v>
      </c>
      <c r="I78" s="1240" t="str">
        <f>TEXT('MYP Assumptions'!E72,"0.00%")&amp;", CPI"</f>
        <v>3.11%, CPI</v>
      </c>
      <c r="J78" s="66"/>
      <c r="K78" s="1527" t="str">
        <f t="shared" si="36"/>
        <v>0.00%</v>
      </c>
      <c r="L78" s="2">
        <f t="shared" si="41"/>
        <v>0</v>
      </c>
      <c r="M78" s="1240" t="str">
        <f>TEXT('MYP Assumptions'!F72,"0.00%")&amp;", CPI"</f>
        <v>3.19%, CPI</v>
      </c>
      <c r="O78" s="1527" t="str">
        <f t="shared" si="37"/>
        <v>0.00%</v>
      </c>
      <c r="P78" s="2">
        <f t="shared" si="42"/>
        <v>0</v>
      </c>
      <c r="Q78" s="1240" t="str">
        <f>TEXT('MYP Assumptions'!G72,"0.00%")&amp;", CPI"</f>
        <v>2.86%, CPI</v>
      </c>
      <c r="S78" s="83" t="str">
        <f t="shared" si="38"/>
        <v>0.00%</v>
      </c>
      <c r="T78" s="2">
        <f t="shared" si="43"/>
        <v>0</v>
      </c>
      <c r="U78" s="81" t="str">
        <f>TEXT('MYP Assumptions'!H72,"0.00%")&amp;", CPI"</f>
        <v>2.73%, CPI</v>
      </c>
      <c r="W78" s="83" t="str">
        <f t="shared" si="39"/>
        <v>0.00%</v>
      </c>
      <c r="X78" s="2">
        <f t="shared" si="44"/>
        <v>0</v>
      </c>
      <c r="Y78" s="81" t="str">
        <f>TEXT('MYP Assumptions'!I72,"0.00%")&amp;", CPI"</f>
        <v>2.73%, CPI</v>
      </c>
      <c r="AA78" s="83" t="str">
        <f t="shared" si="40"/>
        <v>0.00%</v>
      </c>
      <c r="AB78" s="2">
        <f t="shared" si="45"/>
        <v>0</v>
      </c>
      <c r="AC78" s="81" t="str">
        <f>TEXT('MYP Assumptions'!J72,"0.00%")&amp;", CPI"</f>
        <v>2.73%, CPI</v>
      </c>
    </row>
    <row r="79" spans="1:29" hidden="1" x14ac:dyDescent="0.25">
      <c r="A79" s="153"/>
      <c r="B79" s="1326"/>
      <c r="D79" s="2">
        <v>0</v>
      </c>
      <c r="E79" s="1249"/>
      <c r="F79" s="2"/>
      <c r="G79" s="1527" t="str">
        <f t="shared" si="47"/>
        <v>0.00%</v>
      </c>
      <c r="H79" s="2">
        <f>ROUND(D79*(LEFT(I79,5)+1),0)</f>
        <v>0</v>
      </c>
      <c r="I79" s="1240" t="str">
        <f>TEXT('MYP Assumptions'!E72,"0.00%")&amp;", CPI"</f>
        <v>3.11%, CPI</v>
      </c>
      <c r="J79" s="66"/>
      <c r="K79" s="1527" t="str">
        <f t="shared" si="36"/>
        <v>0.00%</v>
      </c>
      <c r="L79" s="2">
        <f t="shared" si="41"/>
        <v>0</v>
      </c>
      <c r="M79" s="1240" t="str">
        <f>TEXT('MYP Assumptions'!F72,"0.00%")&amp;", CPI"</f>
        <v>3.19%, CPI</v>
      </c>
      <c r="O79" s="1527" t="str">
        <f t="shared" si="37"/>
        <v>0.00%</v>
      </c>
      <c r="P79" s="2">
        <f t="shared" si="42"/>
        <v>0</v>
      </c>
      <c r="Q79" s="1240" t="str">
        <f>TEXT('MYP Assumptions'!G72,"0.00%")&amp;", CPI"</f>
        <v>2.86%, CPI</v>
      </c>
      <c r="S79" s="83" t="str">
        <f t="shared" si="38"/>
        <v>0.00%</v>
      </c>
      <c r="T79" s="2">
        <f t="shared" si="43"/>
        <v>0</v>
      </c>
      <c r="U79" s="81" t="str">
        <f>TEXT('MYP Assumptions'!H72,"0.00%")&amp;", CPI"</f>
        <v>2.73%, CPI</v>
      </c>
      <c r="W79" s="83" t="str">
        <f t="shared" si="39"/>
        <v>0.00%</v>
      </c>
      <c r="X79" s="2">
        <f t="shared" si="44"/>
        <v>0</v>
      </c>
      <c r="Y79" s="81" t="str">
        <f>TEXT('MYP Assumptions'!I72,"0.00%")&amp;", CPI"</f>
        <v>2.73%, CPI</v>
      </c>
      <c r="AA79" s="83" t="str">
        <f t="shared" si="40"/>
        <v>0.00%</v>
      </c>
      <c r="AB79" s="2">
        <f t="shared" si="45"/>
        <v>0</v>
      </c>
      <c r="AC79" s="81" t="str">
        <f>TEXT('MYP Assumptions'!J72,"0.00%")&amp;", CPI"</f>
        <v>2.73%, CPI</v>
      </c>
    </row>
    <row r="80" spans="1:29" hidden="1" x14ac:dyDescent="0.25">
      <c r="A80" s="153"/>
      <c r="B80" s="1326"/>
      <c r="D80" s="2">
        <v>0</v>
      </c>
      <c r="E80" s="1249"/>
      <c r="F80" s="2"/>
      <c r="G80" s="1527" t="str">
        <f t="shared" si="47"/>
        <v>0.00%</v>
      </c>
      <c r="H80" s="2">
        <f>ROUND(D80*(LEFT(I80,5)+1),0)</f>
        <v>0</v>
      </c>
      <c r="I80" s="1240" t="str">
        <f>TEXT('MYP Assumptions'!E72,"0.00%")&amp;", CPI"</f>
        <v>3.11%, CPI</v>
      </c>
      <c r="J80" s="66"/>
      <c r="K80" s="1527" t="str">
        <f t="shared" si="36"/>
        <v>0.00%</v>
      </c>
      <c r="L80" s="2">
        <f t="shared" si="41"/>
        <v>0</v>
      </c>
      <c r="M80" s="1240" t="str">
        <f>TEXT('MYP Assumptions'!F72,"0.00%")&amp;", CPI"</f>
        <v>3.19%, CPI</v>
      </c>
      <c r="O80" s="1527" t="str">
        <f t="shared" si="37"/>
        <v>0.00%</v>
      </c>
      <c r="P80" s="2">
        <f t="shared" si="42"/>
        <v>0</v>
      </c>
      <c r="Q80" s="1240" t="str">
        <f>TEXT('MYP Assumptions'!G72,"0.00%")&amp;", CPI"</f>
        <v>2.86%, CPI</v>
      </c>
      <c r="S80" s="83" t="str">
        <f t="shared" si="38"/>
        <v>0.00%</v>
      </c>
      <c r="T80" s="2">
        <f t="shared" si="43"/>
        <v>0</v>
      </c>
      <c r="U80" s="81" t="str">
        <f>TEXT('MYP Assumptions'!H72,"0.00%")&amp;", CPI"</f>
        <v>2.73%, CPI</v>
      </c>
      <c r="W80" s="83" t="str">
        <f t="shared" si="39"/>
        <v>0.00%</v>
      </c>
      <c r="X80" s="2">
        <f t="shared" si="44"/>
        <v>0</v>
      </c>
      <c r="Y80" s="81" t="str">
        <f>TEXT('MYP Assumptions'!I72,"0.00%")&amp;", CPI"</f>
        <v>2.73%, CPI</v>
      </c>
      <c r="AA80" s="83" t="str">
        <f t="shared" si="40"/>
        <v>0.00%</v>
      </c>
      <c r="AB80" s="2">
        <f t="shared" si="45"/>
        <v>0</v>
      </c>
      <c r="AC80" s="81" t="str">
        <f>TEXT('MYP Assumptions'!J72,"0.00%")&amp;", CPI"</f>
        <v>2.73%, CPI</v>
      </c>
    </row>
    <row r="81" spans="1:29" hidden="1" x14ac:dyDescent="0.25">
      <c r="A81" s="153"/>
      <c r="B81" s="1326"/>
      <c r="D81" s="2">
        <f>'RS 3010-ALL'!AF80</f>
        <v>0</v>
      </c>
      <c r="E81" s="1249"/>
      <c r="F81" s="2"/>
      <c r="G81" s="1527" t="str">
        <f t="shared" si="47"/>
        <v>0.00%</v>
      </c>
      <c r="H81" s="2">
        <f>ROUND(D81*(LEFT(I81,5)+1),0)</f>
        <v>0</v>
      </c>
      <c r="I81" s="1240" t="str">
        <f>TEXT('MYP Assumptions'!E72,"0.00%")&amp;", CPI"</f>
        <v>3.11%, CPI</v>
      </c>
      <c r="J81" s="66"/>
      <c r="K81" s="1527" t="str">
        <f t="shared" si="36"/>
        <v>0.00%</v>
      </c>
      <c r="L81" s="2">
        <f t="shared" si="41"/>
        <v>0</v>
      </c>
      <c r="M81" s="1240" t="str">
        <f>TEXT('MYP Assumptions'!F72,"0.00%")&amp;", CPI"</f>
        <v>3.19%, CPI</v>
      </c>
      <c r="O81" s="1527" t="str">
        <f t="shared" si="37"/>
        <v>0.00%</v>
      </c>
      <c r="P81" s="2">
        <f t="shared" si="42"/>
        <v>0</v>
      </c>
      <c r="Q81" s="1240" t="str">
        <f>TEXT('MYP Assumptions'!G72,"0.00%")&amp;", CPI"</f>
        <v>2.86%, CPI</v>
      </c>
      <c r="S81" s="83" t="str">
        <f t="shared" si="38"/>
        <v>0.00%</v>
      </c>
      <c r="T81" s="2">
        <f t="shared" si="43"/>
        <v>0</v>
      </c>
      <c r="U81" s="81" t="str">
        <f>TEXT('MYP Assumptions'!H72,"0.00%")&amp;", CPI"</f>
        <v>2.73%, CPI</v>
      </c>
      <c r="W81" s="83" t="str">
        <f t="shared" si="39"/>
        <v>0.00%</v>
      </c>
      <c r="X81" s="2">
        <f t="shared" si="44"/>
        <v>0</v>
      </c>
      <c r="Y81" s="81" t="str">
        <f>TEXT('MYP Assumptions'!I72,"0.00%")&amp;", CPI"</f>
        <v>2.73%, CPI</v>
      </c>
      <c r="AA81" s="83" t="str">
        <f t="shared" si="40"/>
        <v>0.00%</v>
      </c>
      <c r="AB81" s="2">
        <f t="shared" si="45"/>
        <v>0</v>
      </c>
      <c r="AC81" s="81" t="str">
        <f>TEXT('MYP Assumptions'!J72,"0.00%")&amp;", CPI"</f>
        <v>2.73%, CPI</v>
      </c>
    </row>
    <row r="82" spans="1:29" x14ac:dyDescent="0.25">
      <c r="A82" s="154"/>
      <c r="D82" s="8">
        <f>SUM(D69:D81)</f>
        <v>750662</v>
      </c>
      <c r="E82" s="1249"/>
      <c r="F82" s="2"/>
      <c r="G82" s="1527">
        <f t="shared" si="47"/>
        <v>-1</v>
      </c>
      <c r="H82" s="8">
        <f>SUM(H69:H81)</f>
        <v>0</v>
      </c>
      <c r="I82" s="1258"/>
      <c r="J82" s="29"/>
      <c r="K82" s="1527" t="str">
        <f t="shared" si="36"/>
        <v>0.00%</v>
      </c>
      <c r="L82" s="8">
        <f>SUM(L69:L81)</f>
        <v>0</v>
      </c>
      <c r="M82" s="1335"/>
      <c r="O82" s="1527" t="str">
        <f t="shared" si="37"/>
        <v>0.00%</v>
      </c>
      <c r="P82" s="8">
        <f>SUM(P69:P81)</f>
        <v>0</v>
      </c>
      <c r="Q82" s="1335"/>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750662</v>
      </c>
      <c r="E85" s="1249"/>
      <c r="F85" s="2"/>
      <c r="G85" s="1527">
        <f>IF(D85=0,"0.00%",(H85-D85)/D85)</f>
        <v>-1</v>
      </c>
      <c r="H85" s="8">
        <f>SUM(H82,H66,H55,H13)</f>
        <v>0</v>
      </c>
      <c r="I85" s="1258"/>
      <c r="J85" s="29"/>
      <c r="K85" s="1527" t="str">
        <f>IF(H85=0,"0.00%",(L85-H85)/H85)</f>
        <v>0.00%</v>
      </c>
      <c r="L85" s="8">
        <f>SUM(L82,L66,L55,L13)</f>
        <v>0</v>
      </c>
      <c r="M85" s="1335"/>
      <c r="O85" s="1527" t="str">
        <f>IF(L85=0,"0.00%",(P85-L85)/L85)</f>
        <v>0.00%</v>
      </c>
      <c r="P85" s="8">
        <f>SUM(P82,P66,P55,P13)</f>
        <v>0</v>
      </c>
      <c r="Q85" s="1335"/>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190310.30000000005</v>
      </c>
      <c r="G87" s="1527">
        <f>IF(D87=0,"0.00%",(H87-D87)/D87)</f>
        <v>-1</v>
      </c>
      <c r="H87" s="3">
        <f>H11-H85</f>
        <v>0</v>
      </c>
      <c r="I87" s="1257"/>
      <c r="J87" s="66"/>
      <c r="K87" s="1527" t="str">
        <f>IF(H87=0,"0.00%",(L87-H87)/H87)</f>
        <v>0.00%</v>
      </c>
      <c r="L87" s="3">
        <f>L11-L85</f>
        <v>0</v>
      </c>
      <c r="M87" s="1335"/>
      <c r="O87" s="1527" t="str">
        <f>IF(L87=0,"0.00%",(P87-L87)/L87)</f>
        <v>0.00%</v>
      </c>
      <c r="P87" s="3">
        <f>P11-P85</f>
        <v>0</v>
      </c>
      <c r="Q87" s="1335"/>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0</v>
      </c>
      <c r="G89" s="1527" t="str">
        <f>IF(D89=0,"0.00%",(H89-D89)/D89)</f>
        <v>0.00%</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57"/>
      <c r="B95" s="1329"/>
      <c r="C95" s="1330" t="s">
        <v>226</v>
      </c>
      <c r="D95" s="135">
        <f>+D82+D66+D53+D41+D30</f>
        <v>750662</v>
      </c>
      <c r="E95" s="1251"/>
      <c r="G95" s="1541" t="s">
        <v>226</v>
      </c>
      <c r="H95" s="135">
        <f>+H82+H66+H53+H41+H30</f>
        <v>0</v>
      </c>
      <c r="I95" s="1260"/>
      <c r="J95" s="136"/>
      <c r="K95" s="1541" t="s">
        <v>226</v>
      </c>
      <c r="L95" s="135">
        <f>+L82+L66+L53+L41+L30</f>
        <v>0</v>
      </c>
      <c r="M95" s="1338"/>
      <c r="O95" s="1541" t="s">
        <v>226</v>
      </c>
      <c r="P95" s="135">
        <f>+P82+P66+P53+P41+P30</f>
        <v>0</v>
      </c>
      <c r="Q95" s="1338"/>
      <c r="R95" s="140"/>
      <c r="S95" s="134" t="s">
        <v>226</v>
      </c>
      <c r="T95" s="135">
        <f>+T82+T66+T53+T41+T30</f>
        <v>0</v>
      </c>
      <c r="U95" s="139"/>
      <c r="W95" s="134" t="s">
        <v>226</v>
      </c>
      <c r="X95" s="135">
        <f>+X82+X66+X53+X41+X30</f>
        <v>0</v>
      </c>
      <c r="Y95" s="139"/>
      <c r="AA95" s="134" t="s">
        <v>226</v>
      </c>
      <c r="AB95" s="135">
        <f>+AB82+AB66+AB53+AB41+AB30</f>
        <v>0</v>
      </c>
      <c r="AC95" s="139"/>
    </row>
    <row r="96" spans="1:29" s="138" customFormat="1" ht="11.25" x14ac:dyDescent="0.2">
      <c r="A96" s="159"/>
      <c r="B96" s="1329"/>
      <c r="C96" s="1331" t="s">
        <v>227</v>
      </c>
      <c r="D96" s="143">
        <f>+D13</f>
        <v>0</v>
      </c>
      <c r="E96" s="1252"/>
      <c r="F96" s="145"/>
      <c r="G96" s="1546" t="s">
        <v>227</v>
      </c>
      <c r="H96" s="143">
        <f>+H13</f>
        <v>0</v>
      </c>
      <c r="I96" s="1261"/>
      <c r="J96" s="144"/>
      <c r="K96" s="1546" t="s">
        <v>227</v>
      </c>
      <c r="L96" s="143">
        <f>+L13</f>
        <v>0</v>
      </c>
      <c r="M96" s="1338"/>
      <c r="O96" s="1546" t="s">
        <v>227</v>
      </c>
      <c r="P96" s="143">
        <f>+P13</f>
        <v>0</v>
      </c>
      <c r="Q96" s="1251"/>
      <c r="R96" s="140"/>
      <c r="S96" s="142" t="s">
        <v>227</v>
      </c>
      <c r="T96" s="143">
        <f>+T13</f>
        <v>0</v>
      </c>
      <c r="W96" s="142" t="s">
        <v>227</v>
      </c>
      <c r="X96" s="143">
        <f>+X13</f>
        <v>0</v>
      </c>
      <c r="AA96" s="142" t="s">
        <v>227</v>
      </c>
      <c r="AB96" s="143">
        <f>+AB13</f>
        <v>0</v>
      </c>
    </row>
    <row r="97" spans="1:28" s="138" customFormat="1" ht="11.25" x14ac:dyDescent="0.2">
      <c r="A97" s="159"/>
      <c r="B97" s="1329"/>
      <c r="C97" s="1331"/>
      <c r="D97" s="146">
        <f>+D95+D96</f>
        <v>750662</v>
      </c>
      <c r="E97" s="1252"/>
      <c r="F97" s="145"/>
      <c r="G97" s="1546"/>
      <c r="H97" s="146">
        <f>+H95+H96</f>
        <v>0</v>
      </c>
      <c r="I97" s="1261"/>
      <c r="J97" s="144"/>
      <c r="K97" s="1546"/>
      <c r="L97" s="146">
        <f>+L95+L96</f>
        <v>0</v>
      </c>
      <c r="M97" s="1251"/>
      <c r="O97" s="1546"/>
      <c r="P97" s="146">
        <f>+P95+P96</f>
        <v>0</v>
      </c>
      <c r="Q97" s="1251"/>
      <c r="R97" s="140"/>
      <c r="S97" s="142"/>
      <c r="T97" s="146">
        <f>+T95+T96</f>
        <v>0</v>
      </c>
      <c r="W97" s="142"/>
      <c r="X97" s="146">
        <f>+X95+X96</f>
        <v>0</v>
      </c>
      <c r="AA97" s="142"/>
      <c r="AB97" s="146">
        <f>+AB95+AB96</f>
        <v>0</v>
      </c>
    </row>
    <row r="98" spans="1:28" ht="15"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73" orientation="portrait" r:id="rId1"/>
  <headerFooter>
    <oddHeader>&amp;L&amp;F</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39"/>
  <sheetViews>
    <sheetView zoomScaleNormal="100" workbookViewId="0">
      <pane xSplit="3" ySplit="6" topLeftCell="D69"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9.42578125" style="1550" bestFit="1"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6" style="1243" bestFit="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315</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8150</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D4" s="36"/>
      <c r="E4" s="1254"/>
      <c r="F4" s="51"/>
      <c r="G4" s="1540"/>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796942.06</v>
      </c>
      <c r="E7" s="1315"/>
      <c r="H7" s="2">
        <f>D102</f>
        <v>620652.06000000006</v>
      </c>
      <c r="I7" s="1315"/>
      <c r="J7" s="60"/>
      <c r="L7" s="2">
        <f>H102</f>
        <v>174392.06000000006</v>
      </c>
      <c r="M7" s="1315"/>
      <c r="P7" s="2">
        <f>L102</f>
        <v>140714.06000000006</v>
      </c>
      <c r="Q7" s="1315"/>
      <c r="T7" s="2">
        <f>P102</f>
        <v>140415.06000000006</v>
      </c>
      <c r="U7" s="105"/>
      <c r="X7" s="2">
        <f>T102</f>
        <v>140415.06000000006</v>
      </c>
      <c r="Y7" s="105"/>
      <c r="AB7" s="2">
        <f>X102</f>
        <v>140415.06000000006</v>
      </c>
      <c r="AC7" s="105"/>
    </row>
    <row r="8" spans="1:29" x14ac:dyDescent="0.25">
      <c r="E8" s="1315"/>
      <c r="H8" s="2"/>
      <c r="I8" s="1315"/>
      <c r="L8" s="2"/>
      <c r="M8" s="1315"/>
      <c r="Q8" s="1315"/>
      <c r="U8" s="105"/>
      <c r="Y8" s="105"/>
      <c r="AC8" s="105"/>
    </row>
    <row r="9" spans="1:29" x14ac:dyDescent="0.25">
      <c r="B9" s="1317" t="s">
        <v>52</v>
      </c>
      <c r="C9" s="1243" t="s">
        <v>316</v>
      </c>
      <c r="D9" s="2">
        <v>2510809</v>
      </c>
      <c r="E9" s="1315"/>
      <c r="G9" s="1527">
        <f>IF(D9=0,"0.00%",(H9-D9)/D9)</f>
        <v>3.9026863453173855E-2</v>
      </c>
      <c r="H9" s="398">
        <v>2608798</v>
      </c>
      <c r="I9" s="1315" t="s">
        <v>345</v>
      </c>
      <c r="J9" s="61"/>
      <c r="K9" s="1527">
        <f>IF(H9=0,"0.00%",(L9-H9)/H9)</f>
        <v>-7.5894339078763473E-2</v>
      </c>
      <c r="L9" s="217">
        <f>+UNRESTRICTED!H75</f>
        <v>2410805</v>
      </c>
      <c r="M9" s="1315" t="s">
        <v>345</v>
      </c>
      <c r="O9" s="1527">
        <f>IF(L9=0,"0.00%",(P9-L9)/L9)</f>
        <v>2.8724845020646629E-2</v>
      </c>
      <c r="P9" s="217">
        <f>+UNRESTRICTED!I75</f>
        <v>2480055</v>
      </c>
      <c r="Q9" s="1315" t="s">
        <v>345</v>
      </c>
      <c r="S9" s="83">
        <f>IF(P9=0,"0.00%",(T9-P9)/P9)</f>
        <v>-1</v>
      </c>
      <c r="T9" s="3">
        <f>T3</f>
        <v>0</v>
      </c>
      <c r="U9" s="105"/>
      <c r="W9" s="83" t="str">
        <f>IF(T9=0,"0.00%",(X9-T9)/T9)</f>
        <v>0.00%</v>
      </c>
      <c r="X9" s="3">
        <f>X3</f>
        <v>0</v>
      </c>
      <c r="Y9" s="105"/>
      <c r="AA9" s="83" t="str">
        <f>IF(X9=0,"0.00%",(AB9-X9)/X9)</f>
        <v>0.00%</v>
      </c>
      <c r="AB9" s="3">
        <f>AB3</f>
        <v>0</v>
      </c>
      <c r="AC9" s="105"/>
    </row>
    <row r="10" spans="1:29" x14ac:dyDescent="0.25">
      <c r="C10" s="1243" t="s">
        <v>317</v>
      </c>
      <c r="D10" s="2">
        <v>0</v>
      </c>
      <c r="E10" s="1315"/>
      <c r="G10" s="1527" t="str">
        <f t="shared" ref="G10:G15" si="0">IF(D10=0,"0.00%",(H10-D10)/D10)</f>
        <v>0.00%</v>
      </c>
      <c r="H10" s="3">
        <v>0</v>
      </c>
      <c r="I10" s="1315"/>
      <c r="J10" s="61"/>
      <c r="K10" s="1527" t="str">
        <f>IF(H10=0,"0.00%",(L10-H10)/H10)</f>
        <v>0.00%</v>
      </c>
      <c r="L10" s="3"/>
      <c r="M10" s="1315"/>
      <c r="O10" s="1527" t="str">
        <f>IF(L10=0,"0.00%",(P10-L10)/L10)</f>
        <v>0.00%</v>
      </c>
      <c r="P10" s="3"/>
      <c r="Q10" s="1315"/>
      <c r="S10" s="83" t="str">
        <f>IF(P10=0,"0.00%",(T10-P10)/P10)</f>
        <v>0.00%</v>
      </c>
      <c r="T10" s="3">
        <f>+T98-T9</f>
        <v>2425647</v>
      </c>
      <c r="U10" s="105"/>
      <c r="W10" s="83">
        <f>IF(T10=0,"0.00%",(X10-T10)/T10)</f>
        <v>3.029253638307635E-2</v>
      </c>
      <c r="X10" s="3">
        <f>+X98-X9</f>
        <v>2499126</v>
      </c>
      <c r="Y10" s="105"/>
      <c r="AA10" s="83">
        <f>IF(X10=0,"0.00%",(AB10-X10)/X10)</f>
        <v>2.8944519003843743E-2</v>
      </c>
      <c r="AB10" s="3">
        <f>+AB98-AB9</f>
        <v>2571462</v>
      </c>
      <c r="AC10" s="105"/>
    </row>
    <row r="11" spans="1:29" x14ac:dyDescent="0.25">
      <c r="B11" s="1323" t="s">
        <v>137</v>
      </c>
      <c r="D11" s="8">
        <f>SUM(D9:D10)</f>
        <v>2510809</v>
      </c>
      <c r="E11" s="1315"/>
      <c r="G11" s="1527">
        <f t="shared" si="0"/>
        <v>3.9026863453173855E-2</v>
      </c>
      <c r="H11" s="8">
        <f>SUM(H9:H10)</f>
        <v>2608798</v>
      </c>
      <c r="I11" s="1882">
        <f>+H11-D11</f>
        <v>97989</v>
      </c>
      <c r="J11" s="62"/>
      <c r="K11" s="1527">
        <f>IF(H11=0,"0.00%",(L11-H11)/H11)</f>
        <v>-7.5894339078763473E-2</v>
      </c>
      <c r="L11" s="8">
        <f>SUM(L9:L10)</f>
        <v>2410805</v>
      </c>
      <c r="M11" s="1882">
        <f>+L11-H11</f>
        <v>-197993</v>
      </c>
      <c r="O11" s="1527">
        <f>IF(L11=0,"0.00%",(P11-L11)/L11)</f>
        <v>2.8724845020646629E-2</v>
      </c>
      <c r="P11" s="8">
        <f>SUM(P9:P10)</f>
        <v>2480055</v>
      </c>
      <c r="Q11" s="1882">
        <f>+P11-L11</f>
        <v>69250</v>
      </c>
      <c r="S11" s="83">
        <f>IF(P11=0,"0.00%",(T11-P11)/P11)</f>
        <v>-2.1938223144244786E-2</v>
      </c>
      <c r="T11" s="78">
        <f>SUM(T9:T10)</f>
        <v>2425647</v>
      </c>
      <c r="U11" s="105"/>
      <c r="W11" s="83">
        <f>IF(T11=0,"0.00%",(X11-T11)/T11)</f>
        <v>3.029253638307635E-2</v>
      </c>
      <c r="X11" s="78">
        <f>SUM(X9:X10)</f>
        <v>2499126</v>
      </c>
      <c r="Y11" s="105"/>
      <c r="AA11" s="83">
        <f>IF(X11=0,"0.00%",(AB11-X11)/X11)</f>
        <v>2.8944519003843743E-2</v>
      </c>
      <c r="AB11" s="78">
        <f>SUM(AB9:AB10)</f>
        <v>2571462</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+ROUND((D55+D69+D89)*$B$13,0)</f>
        <v>0</v>
      </c>
      <c r="E13" s="1315"/>
      <c r="G13" s="1527" t="str">
        <f t="shared" si="0"/>
        <v>0.00%</v>
      </c>
      <c r="H13" s="9">
        <f>+ROUND((H55+H69+H89)*$B$13,0)</f>
        <v>0</v>
      </c>
      <c r="I13" s="1315"/>
      <c r="J13" s="64"/>
      <c r="K13" s="1527" t="str">
        <f>IF(H13=0,"0.00%",(L13-H13)/H13)</f>
        <v>0.00%</v>
      </c>
      <c r="L13" s="9">
        <f>+ROUND((L55+L69+L89)*$B$13,0)</f>
        <v>0</v>
      </c>
      <c r="M13" s="1315"/>
      <c r="O13" s="1527" t="str">
        <f>IF(L13=0,"0.00%",(P13-L13)/L13)</f>
        <v>0.00%</v>
      </c>
      <c r="P13" s="9">
        <f>+ROUND((P55+P69+P89)*$B$13,0)</f>
        <v>0</v>
      </c>
      <c r="Q13" s="1315"/>
      <c r="S13" s="83" t="str">
        <f>IF(P13=0,"0.00%",(T13-P13)/P13)</f>
        <v>0.00%</v>
      </c>
      <c r="T13" s="77">
        <f>+ROUND((T55+T69+T89)*$B$13,0)</f>
        <v>0</v>
      </c>
      <c r="U13" s="105"/>
      <c r="W13" s="83" t="str">
        <f>IF(T13=0,"0.00%",(X13-T13)/T13)</f>
        <v>0.00%</v>
      </c>
      <c r="X13" s="77">
        <f>+ROUND((X55+X69+X89)*$B$13,0)</f>
        <v>0</v>
      </c>
      <c r="Y13" s="105"/>
      <c r="AA13" s="83" t="str">
        <f>IF(X13=0,"0.00%",(AB13-X13)/X13)</f>
        <v>0.00%</v>
      </c>
      <c r="AB13" s="77">
        <f>+ROUND((AB55+AB69+AB89)*$B$13,0)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D11-D13+D7</f>
        <v>3307751.06</v>
      </c>
      <c r="E15" s="1315"/>
      <c r="G15" s="1527">
        <f t="shared" si="0"/>
        <v>-0.21130763691751339</v>
      </c>
      <c r="H15" s="9">
        <f>H11-H13</f>
        <v>2608798</v>
      </c>
      <c r="I15" s="1882">
        <f>+H15-D15</f>
        <v>-698953.06</v>
      </c>
      <c r="J15" s="62"/>
      <c r="K15" s="1527">
        <f>IF(H15=0,"0.00%",(L15-H15)/H15)</f>
        <v>-7.5894339078763473E-2</v>
      </c>
      <c r="L15" s="9">
        <f>L11-L13</f>
        <v>2410805</v>
      </c>
      <c r="M15" s="1882">
        <f>+L15-H15</f>
        <v>-197993</v>
      </c>
      <c r="O15" s="1527">
        <f>IF(L15=0,"0.00%",(P15-L15)/L15)</f>
        <v>2.8724845020646629E-2</v>
      </c>
      <c r="P15" s="9">
        <f>P11-P13</f>
        <v>2480055</v>
      </c>
      <c r="Q15" s="1882">
        <f>+P15-L15</f>
        <v>69250</v>
      </c>
      <c r="S15" s="83">
        <f>IF(P15=0,"0.00%",(T15-P15)/P15)</f>
        <v>-2.1938223144244786E-2</v>
      </c>
      <c r="T15" s="19">
        <f>T11-T13</f>
        <v>2425647</v>
      </c>
      <c r="U15" s="105"/>
      <c r="W15" s="83">
        <f>IF(T15=0,"0.00%",(X15-T15)/T15)</f>
        <v>3.029253638307635E-2</v>
      </c>
      <c r="X15" s="19">
        <f>X11-X13</f>
        <v>2499126</v>
      </c>
      <c r="Y15" s="105"/>
      <c r="AA15" s="83">
        <f>IF(X15=0,"0.00%",(AB15-X15)/X15)</f>
        <v>2.8944519003843743E-2</v>
      </c>
      <c r="AB15" s="19">
        <f>AB11-AB13</f>
        <v>2571462</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c r="J19" s="29"/>
      <c r="L19" s="14" t="s">
        <v>48</v>
      </c>
      <c r="M19" s="1526">
        <v>1.4999999999999999E-2</v>
      </c>
      <c r="P19" s="14" t="s">
        <v>48</v>
      </c>
      <c r="Q19" s="1526">
        <v>1.4999999999999999E-2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t="str">
        <f t="shared" ref="I21:I28" si="3">TEXT($I$19,"0.0%")&amp;" = Est. S &amp; C"</f>
        <v>0.0% = Est. S &amp; C</v>
      </c>
      <c r="J21" s="66"/>
      <c r="K21" s="1527" t="str">
        <f t="shared" ref="K21:K27" si="4">IF(H21=0,"0.00%",(L21-H21)/H21)</f>
        <v>0.00%</v>
      </c>
      <c r="L21" s="2">
        <f>ROUND(H21*(1+M19),0)</f>
        <v>0</v>
      </c>
      <c r="M21" s="1257" t="str">
        <f>TEXT(M19,"0.0%")&amp;" = Est. S &amp; C"</f>
        <v>1.5% = Est. S &amp; C</v>
      </c>
      <c r="O21" s="1527" t="str">
        <f t="shared" ref="O21:O27" si="5">IF(L21=0,"0.00%",(P21-L21)/L21)</f>
        <v>0.00%</v>
      </c>
      <c r="P21" s="2">
        <f>ROUND(L21*(1+Q19),0)</f>
        <v>0</v>
      </c>
      <c r="Q21" s="1257" t="str">
        <f>TEXT(Q19,"0.0%")&amp;" = Est. S &amp; C"</f>
        <v>1.5%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0.0% = Est. S &amp; C</v>
      </c>
      <c r="J22" s="66"/>
      <c r="K22" s="1527" t="str">
        <f t="shared" si="4"/>
        <v>0.00%</v>
      </c>
      <c r="L22" s="2">
        <f>ROUND(H22*(1+M19),0)</f>
        <v>0</v>
      </c>
      <c r="M22" s="1257" t="str">
        <f>TEXT(M19,"0.0%")&amp;" = Est. S &amp; C"</f>
        <v>1.5% = Est. S &amp; C</v>
      </c>
      <c r="O22" s="1527" t="str">
        <f t="shared" si="5"/>
        <v>0.00%</v>
      </c>
      <c r="P22" s="2">
        <f>ROUND(L22*(1+Q19),0)</f>
        <v>0</v>
      </c>
      <c r="Q22" s="1257" t="str">
        <f>TEXT(Q19,"0.0%")&amp;" = Est. S &amp; C"</f>
        <v>1.5%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0.0% = Est. S &amp; C</v>
      </c>
      <c r="J23" s="66"/>
      <c r="K23" s="1527" t="str">
        <f t="shared" si="4"/>
        <v>0.00%</v>
      </c>
      <c r="L23" s="2">
        <f>ROUND(H23*(1+M19),0)</f>
        <v>0</v>
      </c>
      <c r="M23" s="1257" t="str">
        <f>TEXT(M19,"0.0%")&amp;" = Est. S &amp; C"</f>
        <v>1.5% = Est. S &amp; C</v>
      </c>
      <c r="O23" s="1527" t="str">
        <f t="shared" si="5"/>
        <v>0.00%</v>
      </c>
      <c r="P23" s="2">
        <f>ROUND(L23*(1+Q19),0)</f>
        <v>0</v>
      </c>
      <c r="Q23" s="1257" t="str">
        <f>TEXT(Q19,"0.0%")&amp;" = Est. S &amp; C"</f>
        <v>1.5%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0.0% = Est. S &amp; C</v>
      </c>
      <c r="J24" s="66"/>
      <c r="K24" s="1527" t="str">
        <f t="shared" si="4"/>
        <v>0.00%</v>
      </c>
      <c r="L24" s="2">
        <f>ROUND(H24*(1+M19),0)</f>
        <v>0</v>
      </c>
      <c r="M24" s="1257" t="str">
        <f>TEXT(M19,"0.0%")&amp;" = Est. S &amp; C"</f>
        <v>1.5% = Est. S &amp; C</v>
      </c>
      <c r="O24" s="1527" t="str">
        <f t="shared" si="5"/>
        <v>0.00%</v>
      </c>
      <c r="P24" s="2">
        <f>ROUND(L24*(1+Q19),0)</f>
        <v>0</v>
      </c>
      <c r="Q24" s="1257" t="str">
        <f>TEXT(Q19,"0.0%")&amp;" = Est. S &amp; C"</f>
        <v>1.5%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t="str">
        <f t="shared" si="3"/>
        <v>0.0% = Est. S &amp; C</v>
      </c>
      <c r="J25" s="66"/>
      <c r="K25" s="1527" t="str">
        <f t="shared" si="4"/>
        <v>0.00%</v>
      </c>
      <c r="L25" s="2">
        <f>ROUND(H25*(1+M19),0)</f>
        <v>0</v>
      </c>
      <c r="M25" s="1257" t="str">
        <f>TEXT(M19,"0.0%")&amp;" = Est. S &amp; C"</f>
        <v>1.5% = Est. S &amp; C</v>
      </c>
      <c r="O25" s="1527" t="str">
        <f t="shared" si="5"/>
        <v>0.00%</v>
      </c>
      <c r="P25" s="2">
        <f>ROUND(L25*(1+Q19),0)</f>
        <v>0</v>
      </c>
      <c r="Q25" s="1257" t="str">
        <f>TEXT(Q19,"0.0%")&amp;" = Est. S &amp; C"</f>
        <v>1.5%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0.0% = Est. S &amp; C</v>
      </c>
      <c r="J26" s="66"/>
      <c r="K26" s="1527" t="str">
        <f t="shared" si="4"/>
        <v>0.00%</v>
      </c>
      <c r="L26" s="2">
        <f>ROUND(H26*(1+M19),0)</f>
        <v>0</v>
      </c>
      <c r="M26" s="1257" t="str">
        <f>TEXT(M19,"0.0%")&amp;" = Est. S &amp; C"</f>
        <v>1.5% = Est. S &amp; C</v>
      </c>
      <c r="O26" s="1527" t="str">
        <f t="shared" si="5"/>
        <v>0.00%</v>
      </c>
      <c r="P26" s="2">
        <f>ROUND(L26*(1+Q19),0)</f>
        <v>0</v>
      </c>
      <c r="Q26" s="1257" t="str">
        <f>TEXT(Q19,"0.0%")&amp;" = Est. S &amp; C"</f>
        <v>1.5%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0.0% = Est. S &amp; C</v>
      </c>
      <c r="J27" s="66"/>
      <c r="K27" s="1527" t="str">
        <f t="shared" si="4"/>
        <v>0.00%</v>
      </c>
      <c r="L27" s="2">
        <f>ROUND(H27*(1+M19),0)</f>
        <v>0</v>
      </c>
      <c r="M27" s="1257" t="str">
        <f>TEXT(M19,"0.0%")&amp;" = Est. S &amp; C"</f>
        <v>1.5% = Est. S &amp; C</v>
      </c>
      <c r="O27" s="1527" t="str">
        <f t="shared" si="5"/>
        <v>0.00%</v>
      </c>
      <c r="P27" s="2">
        <f>ROUND(L27*(1+Q19),0)</f>
        <v>0</v>
      </c>
      <c r="Q27" s="1257" t="str">
        <f>TEXT(Q19,"0.0%")&amp;" = Est. S &amp; C"</f>
        <v>1.5%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0.0%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x14ac:dyDescent="0.25">
      <c r="A33" s="153"/>
      <c r="B33" s="1326">
        <v>2259</v>
      </c>
      <c r="C33" s="1243" t="s">
        <v>318</v>
      </c>
      <c r="D33" s="2">
        <v>304425</v>
      </c>
      <c r="E33" s="1249"/>
      <c r="F33" s="2"/>
      <c r="G33" s="1527">
        <f t="shared" ref="G33:G39" si="9">IF(D33=0,"0.00%",(H33-D33)/D33)</f>
        <v>5.7879609099121291E-3</v>
      </c>
      <c r="H33" s="2">
        <v>306187</v>
      </c>
      <c r="I33" s="1257"/>
      <c r="J33" s="66"/>
      <c r="K33" s="1527">
        <f t="shared" ref="K33:K39" si="10">IF(H33=0,"0.00%",(L33-H33)/H33)</f>
        <v>1.5000636865706251E-2</v>
      </c>
      <c r="L33" s="2">
        <f>ROUND(H33*(1+M19),0)</f>
        <v>310780</v>
      </c>
      <c r="M33" s="1257" t="str">
        <f>TEXT(M19,"0.0%")&amp;" = Est. S &amp; C"</f>
        <v>1.5% = Est. S &amp; C</v>
      </c>
      <c r="O33" s="1527">
        <f t="shared" ref="O33:O39" si="11">IF(L33=0,"0.00%",(P33-L33)/L33)</f>
        <v>1.500096531308321E-2</v>
      </c>
      <c r="P33" s="2">
        <f>ROUND(L33*(1+Q19),0)</f>
        <v>315442</v>
      </c>
      <c r="Q33" s="1257" t="str">
        <f>TEXT(Q19,"0.0%")&amp;" = Est. S &amp; C"</f>
        <v>1.5% = Est. S &amp; C</v>
      </c>
      <c r="S33" s="83">
        <f t="shared" ref="S33:S39" si="12">IF(P33=0,"0.00%",(T33-P33)/P33)</f>
        <v>2.0000507224783002E-2</v>
      </c>
      <c r="T33" s="2">
        <f>ROUND(P33*(1+U19),0)</f>
        <v>321751</v>
      </c>
      <c r="U33" s="36" t="str">
        <f>TEXT(U19,"0.0%")&amp;" = Est. S &amp; C"</f>
        <v>2.0% = Est. S &amp; C</v>
      </c>
      <c r="W33" s="83">
        <f t="shared" ref="W33:W39" si="13">IF(T33=0,"0.00%",(X33-T33)/T33)</f>
        <v>1.9999937840131033E-2</v>
      </c>
      <c r="X33" s="2">
        <f>ROUND(T33*(1+Y19),0)</f>
        <v>328186</v>
      </c>
      <c r="Y33" s="36" t="str">
        <f>TEXT(Y19,"0.0%")&amp;" = Est. S &amp; C"</f>
        <v>2.0% = Est. S &amp; C</v>
      </c>
      <c r="AA33" s="83">
        <f t="shared" ref="AA33:AA39" si="14">IF(X33=0,"0.00%",(AB33-X33)/X33)</f>
        <v>2.0000853174724088E-2</v>
      </c>
      <c r="AB33" s="2">
        <f>ROUND(X33*(1+AC19),0)</f>
        <v>334750</v>
      </c>
      <c r="AC33" s="36" t="str">
        <f>TEXT(AC19,"0.0%")&amp;" = Est. S &amp; C"</f>
        <v>2.0% = Est. S &amp; C</v>
      </c>
    </row>
    <row r="34" spans="1:29" x14ac:dyDescent="0.25">
      <c r="A34" s="153"/>
      <c r="B34" s="1326">
        <v>2262</v>
      </c>
      <c r="C34" s="1243" t="s">
        <v>319</v>
      </c>
      <c r="D34" s="2">
        <v>173012</v>
      </c>
      <c r="E34" s="1249"/>
      <c r="F34" s="2"/>
      <c r="G34" s="1527">
        <f t="shared" si="9"/>
        <v>-3.3506346380597879E-2</v>
      </c>
      <c r="H34" s="2">
        <v>167215</v>
      </c>
      <c r="I34" s="1257"/>
      <c r="J34" s="66"/>
      <c r="K34" s="1527">
        <f t="shared" si="10"/>
        <v>1.4998654426935383E-2</v>
      </c>
      <c r="L34" s="2">
        <f>ROUND(H34*(1+M19),0)</f>
        <v>169723</v>
      </c>
      <c r="M34" s="1257" t="str">
        <f>TEXT(M19,"0.0%")&amp;" = Est. S &amp; C"</f>
        <v>1.5% = Est. S &amp; C</v>
      </c>
      <c r="O34" s="1527">
        <f t="shared" si="11"/>
        <v>1.5000913252770691E-2</v>
      </c>
      <c r="P34" s="2">
        <f>ROUND(L34*(1+Q19),0)</f>
        <v>172269</v>
      </c>
      <c r="Q34" s="1257" t="str">
        <f>TEXT(Q19,"0.0%")&amp;" = Est. S &amp; C"</f>
        <v>1.5% = Est. S &amp; C</v>
      </c>
      <c r="S34" s="83">
        <f t="shared" si="12"/>
        <v>1.9997794147525092E-2</v>
      </c>
      <c r="T34" s="2">
        <f>ROUND(P34*(1+U19),0)</f>
        <v>175714</v>
      </c>
      <c r="U34" s="36" t="str">
        <f>TEXT(U19,"0.0%")&amp;" = Est. S &amp; C"</f>
        <v>2.0% = Est. S &amp; C</v>
      </c>
      <c r="W34" s="83">
        <f t="shared" si="13"/>
        <v>1.9998406501473987E-2</v>
      </c>
      <c r="X34" s="2">
        <f>ROUND(T34*(1+Y19),0)</f>
        <v>179228</v>
      </c>
      <c r="Y34" s="36" t="str">
        <f>TEXT(Y19,"0.0%")&amp;" = Est. S &amp; C"</f>
        <v>2.0% = Est. S &amp; C</v>
      </c>
      <c r="AA34" s="83">
        <f t="shared" si="14"/>
        <v>2.0002454973553241E-2</v>
      </c>
      <c r="AB34" s="2">
        <f>ROUND(X34*(1+AC19),0)</f>
        <v>182813</v>
      </c>
      <c r="AC34" s="36" t="str">
        <f>TEXT(AC19,"0.0%")&amp;" = Est. S &amp; C"</f>
        <v>2.0% = Est. S &amp; C</v>
      </c>
    </row>
    <row r="35" spans="1:29" x14ac:dyDescent="0.25">
      <c r="A35" s="153"/>
      <c r="B35" s="1326">
        <v>2273</v>
      </c>
      <c r="C35" s="1243" t="s">
        <v>320</v>
      </c>
      <c r="D35" s="2">
        <v>2870</v>
      </c>
      <c r="E35" s="1249"/>
      <c r="F35" s="2"/>
      <c r="G35" s="1527">
        <f t="shared" si="9"/>
        <v>-1</v>
      </c>
      <c r="H35" s="2">
        <v>0</v>
      </c>
      <c r="I35" s="1257"/>
      <c r="J35" s="66"/>
      <c r="K35" s="1527" t="str">
        <f t="shared" si="10"/>
        <v>0.00%</v>
      </c>
      <c r="L35" s="2">
        <f>ROUND(H35*(1+M19),0)</f>
        <v>0</v>
      </c>
      <c r="M35" s="1257" t="str">
        <f>TEXT(M19,"0.0%")&amp;" = Est. S &amp; C"</f>
        <v>1.5% = Est. S &amp; C</v>
      </c>
      <c r="O35" s="1527" t="str">
        <f t="shared" si="11"/>
        <v>0.00%</v>
      </c>
      <c r="P35" s="2">
        <f>ROUND(L35*(1+Q19),0)</f>
        <v>0</v>
      </c>
      <c r="Q35" s="1257" t="str">
        <f>TEXT(Q19,"0.0%")&amp;" = Est. S &amp; C"</f>
        <v>1.5%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x14ac:dyDescent="0.25">
      <c r="A36" s="153"/>
      <c r="B36" s="1326" t="s">
        <v>322</v>
      </c>
      <c r="C36" s="1243" t="s">
        <v>321</v>
      </c>
      <c r="D36" s="2">
        <f>14976+84520</f>
        <v>99496</v>
      </c>
      <c r="E36" s="1249"/>
      <c r="F36" s="2"/>
      <c r="G36" s="1527">
        <f t="shared" si="9"/>
        <v>2.9981104768030876E-2</v>
      </c>
      <c r="H36" s="2">
        <f>14981+87498</f>
        <v>102479</v>
      </c>
      <c r="I36" s="1257"/>
      <c r="J36" s="66"/>
      <c r="K36" s="1527">
        <f t="shared" si="10"/>
        <v>1.4998194752095552E-2</v>
      </c>
      <c r="L36" s="2">
        <f>ROUND(H36*(1+M19),0)</f>
        <v>104016</v>
      </c>
      <c r="M36" s="1257" t="str">
        <f>TEXT(M19,"0.0%")&amp;" = Est. S &amp; C"</f>
        <v>1.5% = Est. S &amp; C</v>
      </c>
      <c r="O36" s="1527">
        <f t="shared" si="11"/>
        <v>1.4997692662667282E-2</v>
      </c>
      <c r="P36" s="2">
        <f>ROUND(L36*(1+Q19),0)</f>
        <v>105576</v>
      </c>
      <c r="Q36" s="1257" t="str">
        <f>TEXT(Q19,"0.0%")&amp;" = Est. S &amp; C"</f>
        <v>1.5% = Est. S &amp; C</v>
      </c>
      <c r="S36" s="83">
        <f t="shared" si="12"/>
        <v>2.0004546487838146E-2</v>
      </c>
      <c r="T36" s="2">
        <f>ROUND(P36*(1+U19),0)</f>
        <v>107688</v>
      </c>
      <c r="U36" s="36" t="str">
        <f>TEXT(U19,"0.0%")&amp;" = Est. S &amp; C"</f>
        <v>2.0% = Est. S &amp; C</v>
      </c>
      <c r="W36" s="83">
        <f t="shared" si="13"/>
        <v>2.0002228660574994E-2</v>
      </c>
      <c r="X36" s="2">
        <f>ROUND(T36*(1+Y19),0)</f>
        <v>109842</v>
      </c>
      <c r="Y36" s="36" t="str">
        <f>TEXT(Y19,"0.0%")&amp;" = Est. S &amp; C"</f>
        <v>2.0% = Est. S &amp; C</v>
      </c>
      <c r="AA36" s="83">
        <f t="shared" si="14"/>
        <v>2.0001456637715992E-2</v>
      </c>
      <c r="AB36" s="2">
        <f>ROUND(X36*(1+AC19),0)</f>
        <v>112039</v>
      </c>
      <c r="AC36" s="36" t="str">
        <f>TEXT(AC19,"0.0%")&amp;" = Est. S &amp; C"</f>
        <v>2.0% = Est. S &amp; C</v>
      </c>
    </row>
    <row r="37" spans="1:29" x14ac:dyDescent="0.25">
      <c r="A37" s="153"/>
      <c r="B37" s="1326" t="s">
        <v>252</v>
      </c>
      <c r="C37" s="1243" t="s">
        <v>253</v>
      </c>
      <c r="D37" s="2">
        <f>43684+9049</f>
        <v>52733</v>
      </c>
      <c r="E37" s="1249"/>
      <c r="F37" s="2"/>
      <c r="G37" s="1527">
        <f t="shared" si="9"/>
        <v>2.2452733582386742E-2</v>
      </c>
      <c r="H37" s="2">
        <f>51717+2200</f>
        <v>53917</v>
      </c>
      <c r="I37" s="1257"/>
      <c r="J37" s="66"/>
      <c r="K37" s="1527">
        <f t="shared" si="10"/>
        <v>1.5004544021366174E-2</v>
      </c>
      <c r="L37" s="2">
        <f>ROUND(H37*(1+M19),0)</f>
        <v>54726</v>
      </c>
      <c r="M37" s="1257" t="str">
        <f>TEXT(M19,"0.0%")&amp;" = Est. S &amp; C"</f>
        <v>1.5% = Est. S &amp; C</v>
      </c>
      <c r="O37" s="1527">
        <f t="shared" si="11"/>
        <v>1.5002010013521909E-2</v>
      </c>
      <c r="P37" s="2">
        <f>ROUND(L37*(1+Q19),0)</f>
        <v>55547</v>
      </c>
      <c r="Q37" s="1257" t="str">
        <f>TEXT(Q19,"0.0%")&amp;" = Est. S &amp; C"</f>
        <v>1.5% = Est. S &amp; C</v>
      </c>
      <c r="S37" s="83">
        <f t="shared" si="12"/>
        <v>2.0001080166345619E-2</v>
      </c>
      <c r="T37" s="2">
        <f>ROUND(P37*(1+U19),0)</f>
        <v>56658</v>
      </c>
      <c r="U37" s="36" t="str">
        <f>TEXT(U19,"0.0%")&amp;" = Est. S &amp; C"</f>
        <v>2.0% = Est. S &amp; C</v>
      </c>
      <c r="W37" s="83">
        <f t="shared" si="13"/>
        <v>1.999717603868827E-2</v>
      </c>
      <c r="X37" s="2">
        <f>ROUND(T37*(1+Y19),0)</f>
        <v>57791</v>
      </c>
      <c r="Y37" s="36" t="str">
        <f>TEXT(Y19,"0.0%")&amp;" = Est. S &amp; C"</f>
        <v>2.0% = Est. S &amp; C</v>
      </c>
      <c r="AA37" s="83">
        <f t="shared" si="14"/>
        <v>2.0003114671834715E-2</v>
      </c>
      <c r="AB37" s="2">
        <f>ROUND(X37*(1+AC19),0)</f>
        <v>58947</v>
      </c>
      <c r="AC37" s="36" t="str">
        <f>TEXT(AC19,"0.0%")&amp;" = Est. S &amp; C"</f>
        <v>2.0% = Est. S &amp; C</v>
      </c>
    </row>
    <row r="38" spans="1:29" ht="24" hidden="1" customHeight="1" x14ac:dyDescent="0.25">
      <c r="A38" s="153"/>
      <c r="B38" s="1326"/>
      <c r="D38" s="2">
        <v>0</v>
      </c>
      <c r="E38" s="1249"/>
      <c r="F38" s="2"/>
      <c r="G38" s="1527" t="str">
        <f t="shared" si="9"/>
        <v>0.00%</v>
      </c>
      <c r="H38" s="2">
        <f t="shared" ref="H38:H39" si="15">ROUND(D38*(1+$I$19),0)</f>
        <v>0</v>
      </c>
      <c r="I38" s="1257" t="str">
        <f t="shared" ref="I38:I39" si="16">TEXT($I$19,"0.0%")&amp;" = Est. S &amp; C"</f>
        <v>0.0% = Est. S &amp; C</v>
      </c>
      <c r="J38" s="66"/>
      <c r="K38" s="1527" t="str">
        <f t="shared" si="10"/>
        <v>0.00%</v>
      </c>
      <c r="L38" s="2">
        <f>ROUND(H38*(1+M19),0)</f>
        <v>0</v>
      </c>
      <c r="M38" s="1257" t="str">
        <f>TEXT(M19,"0.0%")&amp;" = Est. S &amp; C"</f>
        <v>1.5% = Est. S &amp; C</v>
      </c>
      <c r="O38" s="1527" t="str">
        <f t="shared" si="11"/>
        <v>0.00%</v>
      </c>
      <c r="P38" s="2">
        <f>ROUND(L38*(1+Q19),0)</f>
        <v>0</v>
      </c>
      <c r="Q38" s="1257" t="str">
        <f>TEXT(Q19,"0.0%")&amp;" = Est. S &amp; C"</f>
        <v>1.5%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5"/>
        <v>0</v>
      </c>
      <c r="I39" s="1257" t="str">
        <f t="shared" si="16"/>
        <v>0.0% = Est. S &amp; C</v>
      </c>
      <c r="J39" s="66"/>
      <c r="K39" s="1527" t="str">
        <f t="shared" si="10"/>
        <v>0.00%</v>
      </c>
      <c r="L39" s="2">
        <f>ROUND(H39*(1+M19),0)</f>
        <v>0</v>
      </c>
      <c r="M39" s="1257" t="str">
        <f>TEXT(M19,"0.0%")&amp;" = Est. S &amp; C"</f>
        <v>1.5% = Est. S &amp; C</v>
      </c>
      <c r="O39" s="1527" t="str">
        <f t="shared" si="11"/>
        <v>0.00%</v>
      </c>
      <c r="P39" s="2">
        <f>ROUND(L39*(1+Q19),0)</f>
        <v>0</v>
      </c>
      <c r="Q39" s="1257" t="str">
        <f>TEXT(Q19,"0.0%")&amp;" = Est. S &amp; C"</f>
        <v>1.5% = Est. S &amp; C</v>
      </c>
      <c r="S39" s="83" t="str">
        <f t="shared" si="12"/>
        <v>0.00%</v>
      </c>
      <c r="T39" s="2">
        <f>ROUND(P39*(1+U19),0)</f>
        <v>0</v>
      </c>
      <c r="U39" s="36" t="str">
        <f>TEXT(U19,"0.0%")&amp;" = Est. S &amp; C"</f>
        <v>2.0% = Est. S &amp; C</v>
      </c>
      <c r="W39" s="83" t="str">
        <f t="shared" si="13"/>
        <v>0.00%</v>
      </c>
      <c r="X39" s="2">
        <f>ROUND(T39*(1+Y19),0)</f>
        <v>0</v>
      </c>
      <c r="Y39" s="36" t="str">
        <f>TEXT(Y19,"0.0%")&amp;" = Est. S &amp; C"</f>
        <v>2.0% = Est. S &amp; C</v>
      </c>
      <c r="AA39" s="83" t="str">
        <f t="shared" si="14"/>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x14ac:dyDescent="0.25">
      <c r="A41" s="154"/>
      <c r="B41" s="1326"/>
      <c r="D41" s="8">
        <f>SUM(D33:D40)</f>
        <v>632536</v>
      </c>
      <c r="E41" s="1249"/>
      <c r="F41" s="2"/>
      <c r="G41" s="1527">
        <f>IF(D41=0,"0.00%",(H41-D41)/D41)</f>
        <v>-4.3286073836113674E-3</v>
      </c>
      <c r="H41" s="8">
        <f>SUM(H33:H40)</f>
        <v>629798</v>
      </c>
      <c r="I41" s="1882">
        <f>+H41-D41</f>
        <v>-2738</v>
      </c>
      <c r="J41" s="29"/>
      <c r="K41" s="1527">
        <f>IF(H41=0,"0.00%",(L41-H41)/H41)</f>
        <v>1.5000047634320847E-2</v>
      </c>
      <c r="L41" s="8">
        <f>SUM(L33:L40)</f>
        <v>639245</v>
      </c>
      <c r="M41" s="1882">
        <f>+L41-H41</f>
        <v>9447</v>
      </c>
      <c r="O41" s="1527">
        <f>IF(L41=0,"0.00%",(P41-L41)/L41)</f>
        <v>1.5000508412267598E-2</v>
      </c>
      <c r="P41" s="8">
        <f>SUM(P33:P40)</f>
        <v>648834</v>
      </c>
      <c r="Q41" s="1882">
        <f>+P41-L41</f>
        <v>9589</v>
      </c>
      <c r="S41" s="83">
        <f>IF(P41=0,"0.00%",(T41-P41)/P41)</f>
        <v>2.0000493192403605E-2</v>
      </c>
      <c r="T41" s="8">
        <f>SUM(T33:T40)</f>
        <v>661811</v>
      </c>
      <c r="U41" s="73"/>
      <c r="W41" s="83">
        <f>IF(T41=0,"0.00%",(X41-T41)/T41)</f>
        <v>1.9999667578810266E-2</v>
      </c>
      <c r="X41" s="8">
        <f>SUM(X33:X40)</f>
        <v>675047</v>
      </c>
      <c r="Y41" s="73"/>
      <c r="AA41" s="83">
        <f>IF(X41=0,"0.00%",(AB41-X41)/X41)</f>
        <v>2.0001570261033677E-2</v>
      </c>
      <c r="AB41" s="8">
        <f>SUM(AB33:AB40)</f>
        <v>688549</v>
      </c>
      <c r="AC41" s="73"/>
    </row>
    <row r="42" spans="1:29" x14ac:dyDescent="0.25">
      <c r="A42" s="153"/>
      <c r="B42" s="1317" t="s">
        <v>28</v>
      </c>
      <c r="E42" s="1249"/>
      <c r="F42" s="2"/>
      <c r="H42" s="2"/>
      <c r="I42" s="1257"/>
      <c r="J42" s="66"/>
      <c r="L42" s="2"/>
      <c r="M42" s="1335"/>
      <c r="Q42" s="1335"/>
      <c r="T42" s="2"/>
      <c r="U42" s="73"/>
      <c r="X42" s="2"/>
      <c r="Y42" s="73"/>
      <c r="AB42" s="2"/>
      <c r="AC42" s="73"/>
    </row>
    <row r="43" spans="1:29" x14ac:dyDescent="0.25">
      <c r="A43" s="155"/>
      <c r="B43" s="1323" t="s">
        <v>27</v>
      </c>
      <c r="E43" s="1249"/>
      <c r="F43" s="2"/>
      <c r="H43" s="2"/>
      <c r="I43" s="1257"/>
      <c r="J43" s="66"/>
      <c r="L43" s="2"/>
      <c r="M43" s="1335"/>
      <c r="Q43" s="1335"/>
      <c r="T43" s="2"/>
      <c r="U43" s="73"/>
      <c r="X43" s="2"/>
      <c r="Y43" s="73"/>
      <c r="AB43" s="2"/>
      <c r="AC43" s="73"/>
    </row>
    <row r="44" spans="1:29" x14ac:dyDescent="0.25">
      <c r="A44" s="153"/>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x14ac:dyDescent="0.25">
      <c r="A45" s="153"/>
      <c r="B45" s="1326" t="s">
        <v>84</v>
      </c>
      <c r="C45" s="1243" t="s">
        <v>77</v>
      </c>
      <c r="D45" s="2">
        <v>85918</v>
      </c>
      <c r="E45" s="1240" t="str">
        <f>TEXT('MYP Assumptions'!$D$53,"0.00%")&amp;", PERS rate"</f>
        <v>13.89%, PERS rate</v>
      </c>
      <c r="F45" s="2"/>
      <c r="G45" s="1527">
        <f t="shared" si="17"/>
        <v>0.13848087711538909</v>
      </c>
      <c r="H45" s="2">
        <v>97816</v>
      </c>
      <c r="I45" s="1240" t="str">
        <f>TEXT('MYP Assumptions'!E53,"0.00%")&amp;", projected PERS rate"</f>
        <v>15.53%, projected PERS rate</v>
      </c>
      <c r="J45" s="66"/>
      <c r="K45" s="1527">
        <f t="shared" si="18"/>
        <v>0.18286374417273249</v>
      </c>
      <c r="L45" s="2">
        <f>ROUND(L41*LEFT(M45,6),0)</f>
        <v>115703</v>
      </c>
      <c r="M45" s="1240" t="str">
        <f>TEXT('MYP Assumptions'!F53,"0.00%")&amp;", projected PERS rate"</f>
        <v>18.10%, projected PERS rate</v>
      </c>
      <c r="O45" s="1527">
        <f t="shared" si="19"/>
        <v>0.16640882258886977</v>
      </c>
      <c r="P45" s="2">
        <f>ROUND(P41*LEFT(Q45,6),0)</f>
        <v>134957</v>
      </c>
      <c r="Q45" s="1240" t="str">
        <f>TEXT('MYP Assumptions'!G53,"0.00%")&amp;", projected PERS rate"</f>
        <v>20.80%, projected PERS rate</v>
      </c>
      <c r="S45" s="83">
        <f t="shared" si="20"/>
        <v>0.16711989744881703</v>
      </c>
      <c r="T45" s="2">
        <f>ROUND(T41*LEFT(U45,6),0)</f>
        <v>157511</v>
      </c>
      <c r="U45" s="81" t="str">
        <f>TEXT('MYP Assumptions'!H53,"0.00%")&amp;", projected PERS rate"</f>
        <v>23.80%, projected PERS rate</v>
      </c>
      <c r="W45" s="83">
        <f t="shared" si="21"/>
        <v>8.000076185155322E-2</v>
      </c>
      <c r="X45" s="2">
        <f>ROUND(X41*LEFT(Y45,6),0)</f>
        <v>170112</v>
      </c>
      <c r="Y45" s="81" t="str">
        <f>TEXT('MYP Assumptions'!I53,"0.00%")&amp;", projected PERS rate"</f>
        <v>25.20%, projected PERS rate</v>
      </c>
      <c r="AA45" s="83">
        <f t="shared" si="22"/>
        <v>5.642753009781791E-2</v>
      </c>
      <c r="AB45" s="2">
        <f>ROUND(AB41*LEFT(AC45,6),0)</f>
        <v>179711</v>
      </c>
      <c r="AC45" s="81" t="str">
        <f>TEXT('MYP Assumptions'!J53,"0.00%")&amp;", projected PERS rate"</f>
        <v>26.10%, projected PERS rate</v>
      </c>
    </row>
    <row r="46" spans="1:29" x14ac:dyDescent="0.25">
      <c r="A46" s="153"/>
      <c r="B46" s="1326" t="s">
        <v>85</v>
      </c>
      <c r="C46" s="1243" t="s">
        <v>78</v>
      </c>
      <c r="D46" s="2">
        <v>36140</v>
      </c>
      <c r="E46" s="1240" t="str">
        <f>TEXT('MYP Assumptions'!$D$54,"0.00%")&amp;", SS rate"</f>
        <v>6.20%, SS rate</v>
      </c>
      <c r="F46" s="2"/>
      <c r="G46" s="1527">
        <f t="shared" si="17"/>
        <v>8.6912008854454895E-2</v>
      </c>
      <c r="H46" s="2">
        <v>39281</v>
      </c>
      <c r="I46" s="1240" t="str">
        <f>TEXT('MYP Assumptions'!E54,"0.00%")&amp;", no rate change"</f>
        <v>6.20%, no rate change</v>
      </c>
      <c r="J46" s="66"/>
      <c r="K46" s="1527">
        <f t="shared" si="18"/>
        <v>8.9610753290394855E-3</v>
      </c>
      <c r="L46" s="2">
        <f>ROUND(L41*LEFT(M46,5),0)</f>
        <v>39633</v>
      </c>
      <c r="M46" s="1240" t="str">
        <f>TEXT('MYP Assumptions'!F54,"0.00%")&amp;", no rate change"</f>
        <v>6.20%, no rate change</v>
      </c>
      <c r="O46" s="1527">
        <f t="shared" si="19"/>
        <v>1.5012741906996694E-2</v>
      </c>
      <c r="P46" s="2">
        <f>ROUND(P41*LEFT(Q46,5),0)</f>
        <v>40228</v>
      </c>
      <c r="Q46" s="1240" t="str">
        <f>TEXT('MYP Assumptions'!G54,"0.00%")&amp;", no rate change"</f>
        <v>6.20%, no rate change</v>
      </c>
      <c r="S46" s="83">
        <f t="shared" si="20"/>
        <v>1.9986079347718008E-2</v>
      </c>
      <c r="T46" s="2">
        <f>ROUND(T41*LEFT(U46,5),0)</f>
        <v>41032</v>
      </c>
      <c r="U46" s="81" t="str">
        <f>TEXT('MYP Assumptions'!H54,"0.00%")&amp;", no rate change"</f>
        <v>6.20%, no rate change</v>
      </c>
      <c r="W46" s="83">
        <f t="shared" si="21"/>
        <v>2.0008773640085787E-2</v>
      </c>
      <c r="X46" s="2">
        <f>ROUND(X41*LEFT(Y46,5),0)</f>
        <v>41853</v>
      </c>
      <c r="Y46" s="81" t="str">
        <f>TEXT('MYP Assumptions'!I54,"0.00%")&amp;", no rate change"</f>
        <v>6.20%, no rate change</v>
      </c>
      <c r="AA46" s="83">
        <f t="shared" si="22"/>
        <v>1.9998566411009965E-2</v>
      </c>
      <c r="AB46" s="2">
        <f>ROUND(AB41*LEFT(AC46,5),0)</f>
        <v>42690</v>
      </c>
      <c r="AC46" s="81" t="str">
        <f>TEXT('MYP Assumptions'!J54,"0.00%")&amp;", no rate change"</f>
        <v>6.20%, no rate change</v>
      </c>
    </row>
    <row r="47" spans="1:29" x14ac:dyDescent="0.25">
      <c r="A47" s="153"/>
      <c r="B47" s="1326" t="s">
        <v>86</v>
      </c>
      <c r="C47" s="1243" t="s">
        <v>79</v>
      </c>
      <c r="D47" s="2">
        <v>8495</v>
      </c>
      <c r="E47" s="1240" t="str">
        <f>TEXT('MYP Assumptions'!$D$55,"0.00%")&amp;", Medicare rate"</f>
        <v>1.45%, Medicare rate</v>
      </c>
      <c r="F47" s="2"/>
      <c r="G47" s="1527">
        <f t="shared" si="17"/>
        <v>8.1812831077104173E-2</v>
      </c>
      <c r="H47" s="2">
        <v>9190</v>
      </c>
      <c r="I47" s="1240" t="str">
        <f>TEXT('MYP Assumptions'!E55,"0.00%")&amp;", no rate change"</f>
        <v>1.45%, no rate change</v>
      </c>
      <c r="J47" s="66"/>
      <c r="K47" s="1527">
        <f t="shared" si="18"/>
        <v>8.5963003264417845E-3</v>
      </c>
      <c r="L47" s="2">
        <f>ROUND((L41+L30)*LEFT(M47,5),0)</f>
        <v>9269</v>
      </c>
      <c r="M47" s="1240" t="str">
        <f>TEXT('MYP Assumptions'!F55,"0.00%")&amp;", no rate change"</f>
        <v>1.45%, no rate change</v>
      </c>
      <c r="O47" s="1527">
        <f t="shared" si="19"/>
        <v>1.4996223972381055E-2</v>
      </c>
      <c r="P47" s="2">
        <f>ROUND((P41+P30)*LEFT(Q47,5),0)</f>
        <v>9408</v>
      </c>
      <c r="Q47" s="1240" t="str">
        <f>TEXT('MYP Assumptions'!G55,"0.00%")&amp;", no rate change"</f>
        <v>1.45%, no rate change</v>
      </c>
      <c r="S47" s="83">
        <f t="shared" si="20"/>
        <v>1.9982993197278913E-2</v>
      </c>
      <c r="T47" s="2">
        <f>ROUND((T41+T30)*LEFT(U47,5),0)</f>
        <v>9596</v>
      </c>
      <c r="U47" s="81" t="str">
        <f>TEXT('MYP Assumptions'!H55,"0.00%")&amp;", no rate change"</f>
        <v>1.45%, no rate change</v>
      </c>
      <c r="W47" s="83">
        <f t="shared" si="21"/>
        <v>2.0008336807002917E-2</v>
      </c>
      <c r="X47" s="2">
        <f>ROUND((X41+X30)*LEFT(Y47,5),0)</f>
        <v>9788</v>
      </c>
      <c r="Y47" s="81" t="str">
        <f>TEXT('MYP Assumptions'!I55,"0.00%")&amp;", no rate change"</f>
        <v>1.45%, no rate change</v>
      </c>
      <c r="AA47" s="83">
        <f t="shared" si="22"/>
        <v>2.0024519820187985E-2</v>
      </c>
      <c r="AB47" s="2">
        <f>ROUND((AB41+AB30)*LEFT(AC47,5),0)</f>
        <v>9984</v>
      </c>
      <c r="AC47" s="81" t="str">
        <f>TEXT('MYP Assumptions'!J55,"0.00%")&amp;", no rate change"</f>
        <v>1.45%, no rate change</v>
      </c>
    </row>
    <row r="48" spans="1:29" x14ac:dyDescent="0.25">
      <c r="A48" s="153"/>
      <c r="B48" s="1326" t="s">
        <v>87</v>
      </c>
      <c r="C48" s="1243" t="s">
        <v>80</v>
      </c>
      <c r="D48" s="2">
        <v>80750</v>
      </c>
      <c r="E48" s="1240"/>
      <c r="F48" s="2"/>
      <c r="G48" s="1527">
        <f t="shared" si="17"/>
        <v>2.2551083591331268E-2</v>
      </c>
      <c r="H48" s="2">
        <v>82571</v>
      </c>
      <c r="I48" s="1240" t="str">
        <f>TEXT('MYP Assumptions'!$M$62,"0.00%")&amp;", projected increase"</f>
        <v>7.00%, projected increase</v>
      </c>
      <c r="J48" s="66"/>
      <c r="K48" s="1527">
        <f t="shared" si="18"/>
        <v>7.0000363323685075E-2</v>
      </c>
      <c r="L48" s="2">
        <f>ROUND((H48)*(LEFT(M48,5)+1),0)</f>
        <v>88351</v>
      </c>
      <c r="M48" s="1240" t="str">
        <f>TEXT('MYP Assumptions'!$M$62,"0.00%")&amp;", projected increase"</f>
        <v>7.00%, projected increase</v>
      </c>
      <c r="O48" s="1527">
        <f t="shared" si="19"/>
        <v>7.000486695113807E-2</v>
      </c>
      <c r="P48" s="2">
        <f>ROUND((L48)*(LEFT(Q48,5)+1),0)</f>
        <v>94536</v>
      </c>
      <c r="Q48" s="1240" t="str">
        <f>TEXT('MYP Assumptions'!$M$62,"0.00%")&amp;", projected increase"</f>
        <v>7.00%, projected increase</v>
      </c>
      <c r="S48" s="83">
        <f t="shared" si="20"/>
        <v>7.0005077430820004E-2</v>
      </c>
      <c r="T48" s="2">
        <f>ROUND((P48)*(LEFT(U48,5)+1),0)</f>
        <v>101154</v>
      </c>
      <c r="U48" s="81" t="str">
        <f>TEXT('MYP Assumptions'!$M$62,"0.00%")&amp;", projected increase"</f>
        <v>7.00%, projected increase</v>
      </c>
      <c r="W48" s="83">
        <f t="shared" si="21"/>
        <v>7.0002174901635128E-2</v>
      </c>
      <c r="X48" s="2">
        <f>ROUND((T48)*(LEFT(Y48,5)+1),0)</f>
        <v>108235</v>
      </c>
      <c r="Y48" s="81" t="str">
        <f>TEXT('MYP Assumptions'!$M$62,"0.00%")&amp;", projected increase"</f>
        <v>7.00%, projected increase</v>
      </c>
      <c r="AA48" s="83">
        <f t="shared" si="22"/>
        <v>6.9995842380006473E-2</v>
      </c>
      <c r="AB48" s="2">
        <f>ROUND((X48)*(LEFT(AC48,5)+1),0)</f>
        <v>115811</v>
      </c>
      <c r="AC48" s="81" t="str">
        <f>TEXT('MYP Assumptions'!$M$62,"0.00%")&amp;", projected increase"</f>
        <v>7.00%, projected increase</v>
      </c>
    </row>
    <row r="49" spans="1:29" x14ac:dyDescent="0.25">
      <c r="A49" s="153"/>
      <c r="B49" s="1326" t="s">
        <v>88</v>
      </c>
      <c r="C49" s="1243" t="s">
        <v>81</v>
      </c>
      <c r="D49" s="2">
        <v>298</v>
      </c>
      <c r="E49" s="1240" t="str">
        <f>TEXT('MYP Assumptions'!$D$56,"0.00%")&amp;", SUI rate"</f>
        <v>0.05%, SUI rate</v>
      </c>
      <c r="F49" s="2"/>
      <c r="G49" s="1527">
        <f t="shared" si="17"/>
        <v>7.3825503355704702E-2</v>
      </c>
      <c r="H49" s="2">
        <v>320</v>
      </c>
      <c r="I49" s="1240" t="str">
        <f>TEXT('MYP Assumptions'!E56,"0.00%")&amp;", no rate change"</f>
        <v>0.05%, no rate change</v>
      </c>
      <c r="J49" s="66"/>
      <c r="K49" s="1527">
        <f t="shared" si="18"/>
        <v>0</v>
      </c>
      <c r="L49" s="2">
        <f>ROUND((L41+L30)*LEFT(M49,5),0)</f>
        <v>320</v>
      </c>
      <c r="M49" s="1240" t="str">
        <f>TEXT('MYP Assumptions'!F56,"0.00%")&amp;", no rate change"</f>
        <v>0.05%, no rate change</v>
      </c>
      <c r="O49" s="1527">
        <f t="shared" si="19"/>
        <v>1.2500000000000001E-2</v>
      </c>
      <c r="P49" s="2">
        <f>ROUND((P41+P30)*LEFT(Q49,5),0)</f>
        <v>324</v>
      </c>
      <c r="Q49" s="1240" t="str">
        <f>TEXT('MYP Assumptions'!G56,"0.00%")&amp;", no rate change"</f>
        <v>0.05%, no rate change</v>
      </c>
      <c r="S49" s="83">
        <f t="shared" si="20"/>
        <v>2.1604938271604937E-2</v>
      </c>
      <c r="T49" s="2">
        <f>ROUND((T41+T30)*LEFT(U49,5),0)</f>
        <v>331</v>
      </c>
      <c r="U49" s="81" t="str">
        <f>TEXT('MYP Assumptions'!H56,"0.00%")&amp;", no rate change"</f>
        <v>0.05%, no rate change</v>
      </c>
      <c r="W49" s="83">
        <f t="shared" si="21"/>
        <v>2.1148036253776436E-2</v>
      </c>
      <c r="X49" s="2">
        <f>ROUND((X41+X30)*LEFT(Y49,5),0)</f>
        <v>338</v>
      </c>
      <c r="Y49" s="81" t="str">
        <f>TEXT('MYP Assumptions'!I56,"0.00%")&amp;", no rate change"</f>
        <v>0.05%, no rate change</v>
      </c>
      <c r="AA49" s="83">
        <f t="shared" si="22"/>
        <v>1.7751479289940829E-2</v>
      </c>
      <c r="AB49" s="2">
        <f>ROUND((AB41+AB30)*LEFT(AC49,5),0)</f>
        <v>344</v>
      </c>
      <c r="AC49" s="81" t="str">
        <f>TEXT('MYP Assumptions'!J56,"0.00%")&amp;", no rate change"</f>
        <v>0.05%, no rate change</v>
      </c>
    </row>
    <row r="50" spans="1:29" x14ac:dyDescent="0.25">
      <c r="A50" s="153"/>
      <c r="B50" s="1326" t="s">
        <v>89</v>
      </c>
      <c r="C50" s="1243" t="s">
        <v>82</v>
      </c>
      <c r="D50" s="2">
        <v>6553</v>
      </c>
      <c r="E50" s="1240" t="str">
        <f>TEXT('MYP Assumptions'!$D$57,"0.00%")&amp;", W/C rate"</f>
        <v>1.10%, W/C rate</v>
      </c>
      <c r="F50" s="2"/>
      <c r="G50" s="1527">
        <f t="shared" si="17"/>
        <v>6.3482374484968712E-2</v>
      </c>
      <c r="H50" s="2">
        <v>6969</v>
      </c>
      <c r="I50" s="1240" t="str">
        <f>TEXT('MYP Assumptions'!E57,"0.00%")&amp;", no rate change"</f>
        <v>1.10%, no rate change</v>
      </c>
      <c r="J50" s="66"/>
      <c r="K50" s="1527">
        <f t="shared" si="18"/>
        <v>9.0400344382264314E-3</v>
      </c>
      <c r="L50" s="2">
        <f>ROUND((L41+L30)*LEFT(M50,5),0)</f>
        <v>7032</v>
      </c>
      <c r="M50" s="1240" t="str">
        <f>TEXT('MYP Assumptions'!F57,"0.00%")&amp;", no rate change"</f>
        <v>1.10%, no rate change</v>
      </c>
      <c r="O50" s="1527">
        <f t="shared" si="19"/>
        <v>1.4931740614334471E-2</v>
      </c>
      <c r="P50" s="2">
        <f>ROUND((P41+P30)*LEFT(Q50,5),0)</f>
        <v>7137</v>
      </c>
      <c r="Q50" s="1240" t="str">
        <f>TEXT('MYP Assumptions'!G57,"0.00%")&amp;", no rate change"</f>
        <v>1.10%, no rate change</v>
      </c>
      <c r="S50" s="83">
        <f t="shared" si="20"/>
        <v>2.0036429872495445E-2</v>
      </c>
      <c r="T50" s="2">
        <f>ROUND((T41+T30)*LEFT(U50,5),0)</f>
        <v>7280</v>
      </c>
      <c r="U50" s="81" t="str">
        <f>TEXT('MYP Assumptions'!H57,"0.00%")&amp;", no rate change"</f>
        <v>1.10%, no rate change</v>
      </c>
      <c r="W50" s="83">
        <f t="shared" si="21"/>
        <v>2.0054945054945057E-2</v>
      </c>
      <c r="X50" s="2">
        <f>ROUND((X41+X30)*LEFT(Y50,5),0)</f>
        <v>7426</v>
      </c>
      <c r="Y50" s="81" t="str">
        <f>TEXT('MYP Assumptions'!I57,"0.00%")&amp;", no rate change"</f>
        <v>1.10%, no rate change</v>
      </c>
      <c r="AA50" s="83">
        <f t="shared" si="22"/>
        <v>1.9929975760840289E-2</v>
      </c>
      <c r="AB50" s="2">
        <f>ROUND((AB41+AB30)*LEFT(AC50,5),0)</f>
        <v>7574</v>
      </c>
      <c r="AC50" s="81" t="str">
        <f>TEXT('MYP Assumptions'!J57,"0.00%")&amp;", no rate change"</f>
        <v>1.10%, no rate change</v>
      </c>
    </row>
    <row r="51" spans="1:29" x14ac:dyDescent="0.25">
      <c r="A51" s="153"/>
      <c r="B51" s="1326" t="s">
        <v>91</v>
      </c>
      <c r="C51" s="1243" t="s">
        <v>93</v>
      </c>
      <c r="D51" s="2">
        <f>1500+1800</f>
        <v>3300</v>
      </c>
      <c r="E51" s="1249"/>
      <c r="F51" s="2"/>
      <c r="G51" s="1527">
        <f t="shared" si="17"/>
        <v>0.14545454545454545</v>
      </c>
      <c r="H51" s="2">
        <f>1500+2280</f>
        <v>3780</v>
      </c>
      <c r="I51" s="1240" t="s">
        <v>166</v>
      </c>
      <c r="J51" s="66"/>
      <c r="K51" s="1527">
        <f t="shared" si="18"/>
        <v>0</v>
      </c>
      <c r="L51" s="2">
        <f>H51</f>
        <v>3780</v>
      </c>
      <c r="M51" s="1240" t="s">
        <v>166</v>
      </c>
      <c r="O51" s="1527">
        <f t="shared" si="19"/>
        <v>0</v>
      </c>
      <c r="P51" s="2">
        <f>L51</f>
        <v>3780</v>
      </c>
      <c r="Q51" s="1240" t="s">
        <v>166</v>
      </c>
      <c r="S51" s="83">
        <f t="shared" si="20"/>
        <v>0</v>
      </c>
      <c r="T51" s="2">
        <f>P51</f>
        <v>3780</v>
      </c>
      <c r="U51" s="81" t="s">
        <v>166</v>
      </c>
      <c r="W51" s="83">
        <f t="shared" si="21"/>
        <v>0</v>
      </c>
      <c r="X51" s="2">
        <f>T51</f>
        <v>3780</v>
      </c>
      <c r="Y51" s="81" t="s">
        <v>166</v>
      </c>
      <c r="AA51" s="83">
        <f t="shared" si="22"/>
        <v>0</v>
      </c>
      <c r="AB51" s="2">
        <f>X51</f>
        <v>3780</v>
      </c>
      <c r="AC51" s="81" t="s">
        <v>166</v>
      </c>
    </row>
    <row r="52" spans="1:29" x14ac:dyDescent="0.25">
      <c r="A52" s="153"/>
      <c r="B52" s="1326"/>
      <c r="E52" s="1249"/>
      <c r="F52" s="2"/>
      <c r="G52" s="1527"/>
      <c r="H52" s="2"/>
      <c r="I52" s="1240"/>
      <c r="J52" s="66"/>
      <c r="K52" s="1527"/>
      <c r="L52" s="2"/>
      <c r="M52" s="1240"/>
      <c r="O52" s="1527"/>
      <c r="Q52" s="1240"/>
      <c r="S52" s="83"/>
      <c r="T52" s="2"/>
      <c r="U52" s="81"/>
      <c r="W52" s="83"/>
      <c r="X52" s="2"/>
      <c r="Y52" s="81"/>
      <c r="AA52" s="83"/>
      <c r="AB52" s="2"/>
      <c r="AC52" s="81"/>
    </row>
    <row r="53" spans="1:29" x14ac:dyDescent="0.25">
      <c r="A53" s="154"/>
      <c r="B53" s="1326"/>
      <c r="D53" s="8">
        <f>SUM(D44:D52)</f>
        <v>221454</v>
      </c>
      <c r="E53" s="1249"/>
      <c r="F53" s="2"/>
      <c r="G53" s="1527">
        <f t="shared" si="17"/>
        <v>8.3416872126942848E-2</v>
      </c>
      <c r="H53" s="8">
        <f>SUM(H44:H52)</f>
        <v>239927</v>
      </c>
      <c r="I53" s="1882">
        <f>+H53-D53</f>
        <v>18473</v>
      </c>
      <c r="J53" s="29"/>
      <c r="K53" s="1527">
        <f t="shared" si="18"/>
        <v>0.10070146336177253</v>
      </c>
      <c r="L53" s="8">
        <f>SUM(L44:L52)</f>
        <v>264088</v>
      </c>
      <c r="M53" s="1882">
        <f>+L53-H53</f>
        <v>24161</v>
      </c>
      <c r="O53" s="1527">
        <f t="shared" si="19"/>
        <v>9.9519857017357855E-2</v>
      </c>
      <c r="P53" s="8">
        <f>SUM(P44:P52)</f>
        <v>290370</v>
      </c>
      <c r="Q53" s="1882">
        <f>+P53-L53</f>
        <v>26282</v>
      </c>
      <c r="S53" s="83">
        <f t="shared" si="20"/>
        <v>0.10439783724213934</v>
      </c>
      <c r="T53" s="8">
        <f>SUM(T44:T52)</f>
        <v>320684</v>
      </c>
      <c r="U53" s="73"/>
      <c r="W53" s="83">
        <f t="shared" si="21"/>
        <v>6.501103890434197E-2</v>
      </c>
      <c r="X53" s="8">
        <f>SUM(X44:X52)</f>
        <v>341532</v>
      </c>
      <c r="Y53" s="73"/>
      <c r="AA53" s="83">
        <f t="shared" si="22"/>
        <v>5.3763629762364873E-2</v>
      </c>
      <c r="AB53" s="8">
        <f>SUM(AB44:AB52)</f>
        <v>359894</v>
      </c>
      <c r="AC53" s="73"/>
    </row>
    <row r="54" spans="1:29" x14ac:dyDescent="0.25">
      <c r="A54" s="155"/>
      <c r="B54" s="1326"/>
      <c r="E54" s="1249"/>
      <c r="F54" s="2"/>
      <c r="H54" s="2"/>
      <c r="I54" s="1257"/>
      <c r="J54" s="66"/>
      <c r="L54" s="2"/>
      <c r="M54" s="1335"/>
      <c r="Q54" s="1335"/>
      <c r="T54" s="2"/>
      <c r="U54" s="73"/>
      <c r="X54" s="2"/>
      <c r="Y54" s="73"/>
      <c r="AB54" s="2"/>
      <c r="AC54" s="73"/>
    </row>
    <row r="55" spans="1:29" x14ac:dyDescent="0.25">
      <c r="A55" s="154"/>
      <c r="B55" s="1323" t="s">
        <v>26</v>
      </c>
      <c r="D55" s="8">
        <f>SUM(D53,D41,D30)</f>
        <v>853990</v>
      </c>
      <c r="E55" s="1249"/>
      <c r="F55" s="2"/>
      <c r="G55" s="1527">
        <f>IF(D55=0,"0.00%",(H55-D55)/D55)</f>
        <v>1.8425274300635838E-2</v>
      </c>
      <c r="H55" s="8">
        <f>SUM(H53,H41,H30)</f>
        <v>869725</v>
      </c>
      <c r="I55" s="1882">
        <f>+H55-D55</f>
        <v>15735</v>
      </c>
      <c r="J55" s="29"/>
      <c r="K55" s="1527">
        <f>IF(H55=0,"0.00%",(L55-H55)/H55)</f>
        <v>3.8642099514214261E-2</v>
      </c>
      <c r="L55" s="8">
        <f>SUM(L53,L41,L30)</f>
        <v>903333</v>
      </c>
      <c r="M55" s="1882">
        <f>+L55-H55</f>
        <v>33608</v>
      </c>
      <c r="O55" s="1527">
        <f>IF(L55=0,"0.00%",(P55-L55)/L55)</f>
        <v>3.9709608748933117E-2</v>
      </c>
      <c r="P55" s="8">
        <f>SUM(P53,P41,P30)</f>
        <v>939204</v>
      </c>
      <c r="Q55" s="1882">
        <f>+P55-L55</f>
        <v>35871</v>
      </c>
      <c r="S55" s="83">
        <f>IF(P55=0,"0.00%",(T55-P55)/P55)</f>
        <v>4.6093287507293412E-2</v>
      </c>
      <c r="T55" s="8">
        <f>SUM(T53,T41,T30)</f>
        <v>982495</v>
      </c>
      <c r="U55" s="73"/>
      <c r="W55" s="83">
        <f>IF(T55=0,"0.00%",(X55-T55)/T55)</f>
        <v>3.4691270693489533E-2</v>
      </c>
      <c r="X55" s="8">
        <f>SUM(X53,X41,X30)</f>
        <v>1016579</v>
      </c>
      <c r="Y55" s="73"/>
      <c r="AA55" s="83">
        <f>IF(X55=0,"0.00%",(AB55-X55)/X55)</f>
        <v>3.1344342151470764E-2</v>
      </c>
      <c r="AB55" s="8">
        <f>SUM(AB53,AB41,AB30)</f>
        <v>1048443</v>
      </c>
      <c r="AC55" s="73"/>
    </row>
    <row r="56" spans="1:29" x14ac:dyDescent="0.25">
      <c r="A56" s="156"/>
      <c r="E56" s="1249"/>
      <c r="F56" s="2"/>
      <c r="H56" s="2"/>
      <c r="I56" s="1257"/>
      <c r="J56" s="66"/>
      <c r="L56" s="2"/>
      <c r="M56" s="1335"/>
      <c r="Q56" s="1335"/>
      <c r="T56" s="2"/>
      <c r="U56" s="73"/>
      <c r="X56" s="2"/>
      <c r="Y56" s="73"/>
      <c r="AB56" s="2"/>
      <c r="AC56" s="73"/>
    </row>
    <row r="57" spans="1:29" x14ac:dyDescent="0.25">
      <c r="A57" s="153"/>
      <c r="E57" s="1249"/>
      <c r="F57" s="2"/>
      <c r="H57" s="2"/>
      <c r="I57" s="1257"/>
      <c r="J57" s="66"/>
      <c r="L57" s="2"/>
      <c r="M57" s="1335"/>
      <c r="Q57" s="1335"/>
      <c r="T57" s="2"/>
      <c r="U57" s="73"/>
      <c r="X57" s="2"/>
      <c r="Y57" s="73"/>
      <c r="AB57" s="2"/>
      <c r="AC57" s="73"/>
    </row>
    <row r="58" spans="1:29" x14ac:dyDescent="0.25">
      <c r="A58" s="156"/>
      <c r="B58" s="1327" t="s">
        <v>25</v>
      </c>
      <c r="C58" s="1259"/>
      <c r="E58" s="1249"/>
      <c r="F58" s="2"/>
      <c r="H58" s="616"/>
      <c r="I58" s="1257"/>
      <c r="J58" s="66"/>
      <c r="L58" s="1485"/>
      <c r="M58" s="1335"/>
      <c r="P58" s="1485"/>
      <c r="Q58" s="1335"/>
      <c r="T58" s="2"/>
      <c r="U58" s="73"/>
      <c r="X58" s="2"/>
      <c r="Y58" s="73"/>
      <c r="AB58" s="2"/>
      <c r="AC58" s="73"/>
    </row>
    <row r="59" spans="1:29" x14ac:dyDescent="0.25">
      <c r="A59" s="153"/>
      <c r="B59" s="1326">
        <v>4300</v>
      </c>
      <c r="C59" s="1243" t="s">
        <v>323</v>
      </c>
      <c r="D59" s="2">
        <v>336155</v>
      </c>
      <c r="E59" s="1249"/>
      <c r="F59" s="2"/>
      <c r="G59" s="1527">
        <f t="shared" ref="G59:G69" si="23">IF(D59=0,"0.00%",(H59-D59)/D59)</f>
        <v>0.16285642040130296</v>
      </c>
      <c r="H59" s="2">
        <v>390900</v>
      </c>
      <c r="I59" s="1257"/>
      <c r="J59" s="66"/>
      <c r="K59" s="1527">
        <f t="shared" ref="K59:K69" si="24">IF(H59=0,"0.00%",(L59-H59)/H59)</f>
        <v>-0.23254029163468917</v>
      </c>
      <c r="L59" s="2">
        <v>300000</v>
      </c>
      <c r="M59" s="1240"/>
      <c r="O59" s="1527">
        <f t="shared" ref="O59:O69" si="25">IF(L59=0,"0.00%",(P59-L59)/L59)</f>
        <v>0</v>
      </c>
      <c r="P59" s="2">
        <f>ROUND(L59*(1-$P$58),0)</f>
        <v>300000</v>
      </c>
      <c r="Q59" s="1240"/>
      <c r="S59" s="83">
        <f t="shared" ref="S59:S69" si="26">IF(P59=0,"0.00%",(T59-P59)/P59)</f>
        <v>2.7300000000000001E-2</v>
      </c>
      <c r="T59" s="2">
        <f>ROUND(P59*(LEFT(U59,5)+1),0)</f>
        <v>308190</v>
      </c>
      <c r="U59" s="81" t="str">
        <f>TEXT('MYP Assumptions'!H72,"0.00%")&amp;", CPI"</f>
        <v>2.73%, CPI</v>
      </c>
      <c r="W59" s="83">
        <f t="shared" ref="W59:W69" si="27">IF(T59=0,"0.00%",(X59-T59)/T59)</f>
        <v>2.7301340082416692E-2</v>
      </c>
      <c r="X59" s="2">
        <f>ROUND(T59*(LEFT(Y59,5)+1),0)</f>
        <v>316604</v>
      </c>
      <c r="Y59" s="81" t="str">
        <f>TEXT('MYP Assumptions'!I72,"0.00%")&amp;", CPI"</f>
        <v>2.73%, CPI</v>
      </c>
      <c r="AA59" s="83">
        <f t="shared" ref="AA59:AA69" si="28">IF(X59=0,"0.00%",(AB59-X59)/X59)</f>
        <v>2.7299086556076359E-2</v>
      </c>
      <c r="AB59" s="2">
        <f>ROUND(X59*(LEFT(AC59,5)+1),0)</f>
        <v>325247</v>
      </c>
      <c r="AC59" s="81" t="str">
        <f>TEXT('MYP Assumptions'!J72,"0.00%")&amp;", CPI"</f>
        <v>2.73%, CPI</v>
      </c>
    </row>
    <row r="60" spans="1:29" x14ac:dyDescent="0.25">
      <c r="A60" s="153"/>
      <c r="B60" s="1326">
        <v>4345</v>
      </c>
      <c r="C60" s="1243" t="s">
        <v>324</v>
      </c>
      <c r="D60" s="2">
        <v>11038</v>
      </c>
      <c r="E60" s="1249"/>
      <c r="F60" s="2"/>
      <c r="G60" s="1527">
        <f t="shared" si="23"/>
        <v>2.2614604094944735</v>
      </c>
      <c r="H60" s="2">
        <v>36000</v>
      </c>
      <c r="I60" s="1257"/>
      <c r="J60" s="66"/>
      <c r="K60" s="1527">
        <f t="shared" si="24"/>
        <v>-0.72222222222222221</v>
      </c>
      <c r="L60" s="2">
        <v>10000</v>
      </c>
      <c r="M60" s="1240"/>
      <c r="O60" s="1527">
        <f t="shared" si="25"/>
        <v>0</v>
      </c>
      <c r="P60" s="2">
        <f t="shared" ref="P60:P67" si="29">ROUND(L60*(1-$P$58),0)</f>
        <v>10000</v>
      </c>
      <c r="Q60" s="1240"/>
      <c r="S60" s="83">
        <f t="shared" si="26"/>
        <v>2.7300000000000001E-2</v>
      </c>
      <c r="T60" s="2">
        <f t="shared" ref="T60:T68" si="30">ROUND(P60*(LEFT(U60,5)+1),0)</f>
        <v>10273</v>
      </c>
      <c r="U60" s="81" t="str">
        <f>TEXT('MYP Assumptions'!H72,"0.00%")&amp;", CPI"</f>
        <v>2.73%, CPI</v>
      </c>
      <c r="W60" s="83">
        <f t="shared" si="27"/>
        <v>2.7255913559816995E-2</v>
      </c>
      <c r="X60" s="2">
        <f t="shared" ref="X60:X68" si="31">ROUND(T60*(LEFT(Y60,5)+1),0)</f>
        <v>10553</v>
      </c>
      <c r="Y60" s="81" t="str">
        <f>TEXT('MYP Assumptions'!I72,"0.00%")&amp;", CPI"</f>
        <v>2.73%, CPI</v>
      </c>
      <c r="AA60" s="83">
        <f t="shared" si="28"/>
        <v>2.7290817776935469E-2</v>
      </c>
      <c r="AB60" s="2">
        <f t="shared" ref="AB60:AB68" si="32">ROUND(X60*(LEFT(AC60,5)+1),0)</f>
        <v>10841</v>
      </c>
      <c r="AC60" s="81" t="str">
        <f>TEXT('MYP Assumptions'!J72,"0.00%")&amp;", CPI"</f>
        <v>2.73%, CPI</v>
      </c>
    </row>
    <row r="61" spans="1:29" x14ac:dyDescent="0.25">
      <c r="A61" s="153"/>
      <c r="B61" s="1326">
        <v>4347</v>
      </c>
      <c r="C61" s="1243" t="s">
        <v>325</v>
      </c>
      <c r="D61" s="2">
        <v>6000</v>
      </c>
      <c r="E61" s="1249"/>
      <c r="F61" s="2"/>
      <c r="G61" s="1527">
        <f t="shared" si="23"/>
        <v>0</v>
      </c>
      <c r="H61" s="2">
        <f t="shared" ref="H61:H65" si="33">+D61*(1-$H$58)</f>
        <v>6000</v>
      </c>
      <c r="I61" s="1257"/>
      <c r="J61" s="66"/>
      <c r="K61" s="1527">
        <f t="shared" si="24"/>
        <v>0</v>
      </c>
      <c r="L61" s="2">
        <f t="shared" ref="L61:L67" si="34">ROUND(H61*(1-$L$58),0)</f>
        <v>6000</v>
      </c>
      <c r="M61" s="1240"/>
      <c r="O61" s="1527">
        <f t="shared" si="25"/>
        <v>0</v>
      </c>
      <c r="P61" s="2">
        <f t="shared" si="29"/>
        <v>6000</v>
      </c>
      <c r="Q61" s="1240"/>
      <c r="S61" s="83">
        <f t="shared" si="26"/>
        <v>2.7333333333333334E-2</v>
      </c>
      <c r="T61" s="2">
        <f t="shared" si="30"/>
        <v>6164</v>
      </c>
      <c r="U61" s="81" t="str">
        <f>TEXT('MYP Assumptions'!H72,"0.00%")&amp;", CPI"</f>
        <v>2.73%, CPI</v>
      </c>
      <c r="W61" s="83">
        <f t="shared" si="27"/>
        <v>2.7255029201817001E-2</v>
      </c>
      <c r="X61" s="2">
        <f t="shared" si="31"/>
        <v>6332</v>
      </c>
      <c r="Y61" s="81" t="str">
        <f>TEXT('MYP Assumptions'!I72,"0.00%")&amp;", CPI"</f>
        <v>2.73%, CPI</v>
      </c>
      <c r="AA61" s="83">
        <f t="shared" si="28"/>
        <v>2.7321541377132028E-2</v>
      </c>
      <c r="AB61" s="2">
        <f t="shared" si="32"/>
        <v>6505</v>
      </c>
      <c r="AC61" s="81" t="str">
        <f>TEXT('MYP Assumptions'!J72,"0.00%")&amp;", CPI"</f>
        <v>2.73%, CPI</v>
      </c>
    </row>
    <row r="62" spans="1:29" x14ac:dyDescent="0.25">
      <c r="A62" s="153"/>
      <c r="B62" s="1326">
        <v>4348</v>
      </c>
      <c r="C62" s="1243" t="s">
        <v>326</v>
      </c>
      <c r="D62" s="2">
        <v>605</v>
      </c>
      <c r="E62" s="1249"/>
      <c r="F62" s="2"/>
      <c r="G62" s="1527">
        <f t="shared" si="23"/>
        <v>-8.2644628099173556E-3</v>
      </c>
      <c r="H62" s="2">
        <v>600</v>
      </c>
      <c r="I62" s="1257"/>
      <c r="J62" s="66"/>
      <c r="K62" s="1527">
        <f t="shared" si="24"/>
        <v>0</v>
      </c>
      <c r="L62" s="2">
        <f t="shared" si="34"/>
        <v>600</v>
      </c>
      <c r="M62" s="1240"/>
      <c r="O62" s="1527">
        <f t="shared" si="25"/>
        <v>0</v>
      </c>
      <c r="P62" s="2">
        <f t="shared" si="29"/>
        <v>600</v>
      </c>
      <c r="Q62" s="1240"/>
      <c r="S62" s="83">
        <f t="shared" si="26"/>
        <v>2.6666666666666668E-2</v>
      </c>
      <c r="T62" s="2">
        <f t="shared" si="30"/>
        <v>616</v>
      </c>
      <c r="U62" s="81" t="str">
        <f>TEXT('MYP Assumptions'!H72,"0.00%")&amp;", CPI"</f>
        <v>2.73%, CPI</v>
      </c>
      <c r="W62" s="83">
        <f t="shared" si="27"/>
        <v>2.7597402597402596E-2</v>
      </c>
      <c r="X62" s="2">
        <f t="shared" si="31"/>
        <v>633</v>
      </c>
      <c r="Y62" s="81" t="str">
        <f>TEXT('MYP Assumptions'!I72,"0.00%")&amp;", CPI"</f>
        <v>2.73%, CPI</v>
      </c>
      <c r="AA62" s="83">
        <f t="shared" si="28"/>
        <v>2.6856240126382307E-2</v>
      </c>
      <c r="AB62" s="2">
        <f t="shared" si="32"/>
        <v>650</v>
      </c>
      <c r="AC62" s="81" t="str">
        <f>TEXT('MYP Assumptions'!J72,"0.00%")&amp;", CPI"</f>
        <v>2.73%, CPI</v>
      </c>
    </row>
    <row r="63" spans="1:29" x14ac:dyDescent="0.25">
      <c r="A63" s="153"/>
      <c r="B63" s="1326">
        <v>4349</v>
      </c>
      <c r="C63" s="1243" t="s">
        <v>327</v>
      </c>
      <c r="D63" s="2">
        <v>9000</v>
      </c>
      <c r="E63" s="1249"/>
      <c r="F63" s="2"/>
      <c r="G63" s="1527">
        <f t="shared" si="23"/>
        <v>0</v>
      </c>
      <c r="H63" s="2">
        <v>9000</v>
      </c>
      <c r="I63" s="1257"/>
      <c r="J63" s="66"/>
      <c r="K63" s="1527">
        <f t="shared" si="24"/>
        <v>0</v>
      </c>
      <c r="L63" s="2">
        <f t="shared" si="34"/>
        <v>9000</v>
      </c>
      <c r="M63" s="1240"/>
      <c r="O63" s="1527">
        <f t="shared" si="25"/>
        <v>0</v>
      </c>
      <c r="P63" s="2">
        <f t="shared" si="29"/>
        <v>9000</v>
      </c>
      <c r="Q63" s="1240"/>
      <c r="S63" s="83">
        <f t="shared" si="26"/>
        <v>2.7333333333333334E-2</v>
      </c>
      <c r="T63" s="2">
        <f t="shared" si="30"/>
        <v>9246</v>
      </c>
      <c r="U63" s="81" t="str">
        <f>TEXT('MYP Assumptions'!H72,"0.00%")&amp;", CPI"</f>
        <v>2.73%, CPI</v>
      </c>
      <c r="W63" s="83">
        <f t="shared" si="27"/>
        <v>2.7255029201817001E-2</v>
      </c>
      <c r="X63" s="2">
        <f t="shared" si="31"/>
        <v>9498</v>
      </c>
      <c r="Y63" s="81" t="str">
        <f>TEXT('MYP Assumptions'!I72,"0.00%")&amp;", CPI"</f>
        <v>2.73%, CPI</v>
      </c>
      <c r="AA63" s="83">
        <f t="shared" si="28"/>
        <v>2.7268898715519057E-2</v>
      </c>
      <c r="AB63" s="2">
        <f t="shared" si="32"/>
        <v>9757</v>
      </c>
      <c r="AC63" s="81" t="str">
        <f>TEXT('MYP Assumptions'!J72,"0.00%")&amp;", CPI"</f>
        <v>2.73%, CPI</v>
      </c>
    </row>
    <row r="64" spans="1:29" x14ac:dyDescent="0.25">
      <c r="A64" s="153"/>
      <c r="B64" s="1326">
        <v>4352</v>
      </c>
      <c r="C64" s="1243" t="s">
        <v>328</v>
      </c>
      <c r="D64" s="2">
        <v>1000</v>
      </c>
      <c r="E64" s="1249"/>
      <c r="F64" s="2"/>
      <c r="G64" s="1527">
        <f t="shared" si="23"/>
        <v>0</v>
      </c>
      <c r="H64" s="2">
        <f t="shared" si="33"/>
        <v>1000</v>
      </c>
      <c r="I64" s="1257"/>
      <c r="J64" s="66"/>
      <c r="K64" s="1527">
        <f t="shared" si="24"/>
        <v>-0.5</v>
      </c>
      <c r="L64" s="2">
        <v>500</v>
      </c>
      <c r="M64" s="1240"/>
      <c r="O64" s="1527">
        <f t="shared" si="25"/>
        <v>0</v>
      </c>
      <c r="P64" s="2">
        <f t="shared" si="29"/>
        <v>500</v>
      </c>
      <c r="Q64" s="1240"/>
      <c r="S64" s="83">
        <f t="shared" si="26"/>
        <v>2.8000000000000001E-2</v>
      </c>
      <c r="T64" s="2">
        <f t="shared" si="30"/>
        <v>514</v>
      </c>
      <c r="U64" s="81" t="str">
        <f>TEXT('MYP Assumptions'!H72,"0.00%")&amp;", CPI"</f>
        <v>2.73%, CPI</v>
      </c>
      <c r="W64" s="83">
        <f t="shared" si="27"/>
        <v>2.7237354085603113E-2</v>
      </c>
      <c r="X64" s="2">
        <f t="shared" si="31"/>
        <v>528</v>
      </c>
      <c r="Y64" s="81" t="str">
        <f>TEXT('MYP Assumptions'!I72,"0.00%")&amp;", CPI"</f>
        <v>2.73%, CPI</v>
      </c>
      <c r="AA64" s="83">
        <f t="shared" si="28"/>
        <v>2.6515151515151516E-2</v>
      </c>
      <c r="AB64" s="2">
        <f t="shared" si="32"/>
        <v>542</v>
      </c>
      <c r="AC64" s="81" t="str">
        <f>TEXT('MYP Assumptions'!J72,"0.00%")&amp;", CPI"</f>
        <v>2.73%, CPI</v>
      </c>
    </row>
    <row r="65" spans="1:29" x14ac:dyDescent="0.25">
      <c r="A65" s="153"/>
      <c r="B65" s="1326">
        <v>4354</v>
      </c>
      <c r="C65" s="1328" t="s">
        <v>329</v>
      </c>
      <c r="D65" s="2">
        <v>2100</v>
      </c>
      <c r="E65" s="1249"/>
      <c r="F65" s="2"/>
      <c r="G65" s="1527">
        <f t="shared" si="23"/>
        <v>0</v>
      </c>
      <c r="H65" s="2">
        <f t="shared" si="33"/>
        <v>2100</v>
      </c>
      <c r="I65" s="1257"/>
      <c r="J65" s="66"/>
      <c r="K65" s="1527">
        <f t="shared" ref="K65:K67" si="35">IF(H65=0,"0.00%",(L65-H65)/H65)</f>
        <v>-0.2857142857142857</v>
      </c>
      <c r="L65" s="2">
        <v>1500</v>
      </c>
      <c r="M65" s="1240"/>
      <c r="O65" s="1527">
        <f t="shared" ref="O65:O67" si="36">IF(L65=0,"0.00%",(P65-L65)/L65)</f>
        <v>0</v>
      </c>
      <c r="P65" s="2">
        <f t="shared" si="29"/>
        <v>1500</v>
      </c>
      <c r="Q65" s="1240"/>
      <c r="S65" s="83"/>
      <c r="T65" s="2"/>
      <c r="U65" s="81"/>
      <c r="W65" s="83"/>
      <c r="X65" s="2"/>
      <c r="Y65" s="81"/>
      <c r="AA65" s="83"/>
      <c r="AB65" s="2"/>
      <c r="AC65" s="81"/>
    </row>
    <row r="66" spans="1:29" x14ac:dyDescent="0.25">
      <c r="A66" s="153"/>
      <c r="B66" s="1326">
        <v>4400</v>
      </c>
      <c r="C66" s="1243" t="s">
        <v>330</v>
      </c>
      <c r="D66" s="2">
        <v>18200</v>
      </c>
      <c r="E66" s="1249"/>
      <c r="F66" s="2"/>
      <c r="G66" s="1527">
        <f t="shared" si="23"/>
        <v>-1.098901098901099E-2</v>
      </c>
      <c r="H66" s="2">
        <v>18000</v>
      </c>
      <c r="I66" s="1257"/>
      <c r="J66" s="66"/>
      <c r="K66" s="1527">
        <f t="shared" si="35"/>
        <v>-0.16666666666666666</v>
      </c>
      <c r="L66" s="2">
        <v>15000</v>
      </c>
      <c r="M66" s="1240"/>
      <c r="O66" s="1527">
        <f t="shared" si="36"/>
        <v>0</v>
      </c>
      <c r="P66" s="2">
        <f t="shared" si="29"/>
        <v>15000</v>
      </c>
      <c r="Q66" s="1240"/>
      <c r="S66" s="83"/>
      <c r="T66" s="2"/>
      <c r="U66" s="81"/>
      <c r="W66" s="83"/>
      <c r="X66" s="2"/>
      <c r="Y66" s="81"/>
      <c r="AA66" s="83"/>
      <c r="AB66" s="2"/>
      <c r="AC66" s="81"/>
    </row>
    <row r="67" spans="1:29" x14ac:dyDescent="0.25">
      <c r="A67" s="153"/>
      <c r="B67" s="1326"/>
      <c r="D67" s="2">
        <v>0</v>
      </c>
      <c r="E67" s="1249"/>
      <c r="F67" s="2"/>
      <c r="G67" s="1527" t="str">
        <f t="shared" si="23"/>
        <v>0.00%</v>
      </c>
      <c r="H67" s="2">
        <v>0</v>
      </c>
      <c r="I67" s="1240"/>
      <c r="J67" s="66"/>
      <c r="K67" s="1527" t="str">
        <f t="shared" si="35"/>
        <v>0.00%</v>
      </c>
      <c r="L67" s="2">
        <f t="shared" si="34"/>
        <v>0</v>
      </c>
      <c r="M67" s="1240"/>
      <c r="O67" s="1527" t="str">
        <f t="shared" si="36"/>
        <v>0.00%</v>
      </c>
      <c r="P67" s="2">
        <f t="shared" si="29"/>
        <v>0</v>
      </c>
      <c r="Q67" s="1240"/>
      <c r="S67" s="83"/>
      <c r="T67" s="2"/>
      <c r="U67" s="81"/>
      <c r="W67" s="83"/>
      <c r="X67" s="2"/>
      <c r="Y67" s="81"/>
      <c r="AA67" s="83"/>
      <c r="AB67" s="2"/>
      <c r="AC67" s="81"/>
    </row>
    <row r="68" spans="1:29" hidden="1" x14ac:dyDescent="0.25">
      <c r="A68" s="153"/>
      <c r="B68" s="1326"/>
      <c r="C68" s="1328"/>
      <c r="D68" s="2">
        <v>0</v>
      </c>
      <c r="E68" s="1249"/>
      <c r="F68" s="2"/>
      <c r="G68" s="1527" t="str">
        <f t="shared" si="23"/>
        <v>0.00%</v>
      </c>
      <c r="H68" s="2">
        <f t="shared" ref="H68" si="37">ROUND(D68*(LEFT(I68,5)+1),0)</f>
        <v>0</v>
      </c>
      <c r="I68" s="1240" t="str">
        <f>TEXT('MYP Assumptions'!$E$72,"0.00%")&amp;", CPI"</f>
        <v>3.11%, CPI</v>
      </c>
      <c r="J68" s="66"/>
      <c r="K68" s="1527" t="str">
        <f t="shared" si="24"/>
        <v>0.00%</v>
      </c>
      <c r="L68" s="2">
        <f t="shared" ref="L68" si="38">ROUND(H68*(LEFT(M68,5)+1),0)</f>
        <v>0</v>
      </c>
      <c r="M68" s="1240" t="str">
        <f>TEXT('MYP Assumptions'!F72,"0.00%")&amp;", CPI"</f>
        <v>3.19%, CPI</v>
      </c>
      <c r="O68" s="1527" t="str">
        <f t="shared" si="25"/>
        <v>0.00%</v>
      </c>
      <c r="P68" s="2">
        <f t="shared" ref="P68" si="39">ROUND(L68*(LEFT(Q68,5)+1),0)</f>
        <v>0</v>
      </c>
      <c r="Q68" s="1240" t="str">
        <f>TEXT('MYP Assumptions'!G72,"0.00%")&amp;", CPI"</f>
        <v>2.86%, CPI</v>
      </c>
      <c r="S68" s="83" t="str">
        <f t="shared" si="26"/>
        <v>0.00%</v>
      </c>
      <c r="T68" s="2">
        <f t="shared" si="30"/>
        <v>0</v>
      </c>
      <c r="U68" s="81" t="str">
        <f>TEXT('MYP Assumptions'!H72,"0.00%")&amp;", CPI"</f>
        <v>2.73%, CPI</v>
      </c>
      <c r="W68" s="83" t="str">
        <f t="shared" si="27"/>
        <v>0.00%</v>
      </c>
      <c r="X68" s="2">
        <f t="shared" si="31"/>
        <v>0</v>
      </c>
      <c r="Y68" s="81" t="str">
        <f>TEXT('MYP Assumptions'!I72,"0.00%")&amp;", CPI"</f>
        <v>2.73%, CPI</v>
      </c>
      <c r="AA68" s="83" t="str">
        <f t="shared" si="28"/>
        <v>0.00%</v>
      </c>
      <c r="AB68" s="2">
        <f t="shared" si="32"/>
        <v>0</v>
      </c>
      <c r="AC68" s="81" t="str">
        <f>TEXT('MYP Assumptions'!J72,"0.00%")&amp;", CPI"</f>
        <v>2.73%, CPI</v>
      </c>
    </row>
    <row r="69" spans="1:29" x14ac:dyDescent="0.25">
      <c r="A69" s="154"/>
      <c r="B69" s="1326"/>
      <c r="D69" s="8">
        <f>SUM(D59:D68)</f>
        <v>384098</v>
      </c>
      <c r="E69" s="1249"/>
      <c r="F69" s="2"/>
      <c r="G69" s="1527">
        <f t="shared" si="23"/>
        <v>0.20698363438497466</v>
      </c>
      <c r="H69" s="8">
        <f>SUM(H59:H68)</f>
        <v>463600</v>
      </c>
      <c r="I69" s="1882">
        <f>+H69-D69</f>
        <v>79502</v>
      </c>
      <c r="J69" s="29"/>
      <c r="K69" s="1527">
        <f t="shared" si="24"/>
        <v>-0.26100086281276963</v>
      </c>
      <c r="L69" s="8">
        <f>SUM(L59:L68)</f>
        <v>342600</v>
      </c>
      <c r="M69" s="1882">
        <f>+L69-H69</f>
        <v>-121000</v>
      </c>
      <c r="O69" s="1527">
        <f t="shared" si="25"/>
        <v>0</v>
      </c>
      <c r="P69" s="8">
        <f>SUM(P59:P68)</f>
        <v>342600</v>
      </c>
      <c r="Q69" s="1882">
        <f>+P69-L69</f>
        <v>0</v>
      </c>
      <c r="S69" s="83">
        <f t="shared" si="26"/>
        <v>-2.2174547577349678E-2</v>
      </c>
      <c r="T69" s="8">
        <f>SUM(T59:T68)</f>
        <v>335003</v>
      </c>
      <c r="U69" s="73"/>
      <c r="W69" s="83">
        <f t="shared" si="27"/>
        <v>2.7298263000629847E-2</v>
      </c>
      <c r="X69" s="8">
        <f>SUM(X59:X68)</f>
        <v>344148</v>
      </c>
      <c r="Y69" s="73"/>
      <c r="AA69" s="83">
        <f t="shared" si="28"/>
        <v>2.7296395736717924E-2</v>
      </c>
      <c r="AB69" s="8">
        <f>SUM(AB59:AB68)</f>
        <v>353542</v>
      </c>
      <c r="AC69" s="73"/>
    </row>
    <row r="70" spans="1:29" x14ac:dyDescent="0.25">
      <c r="A70" s="153"/>
      <c r="E70" s="1249"/>
      <c r="F70" s="2"/>
      <c r="H70" s="2"/>
      <c r="I70" s="1257"/>
      <c r="J70" s="66"/>
      <c r="L70" s="2"/>
      <c r="M70" s="1335"/>
      <c r="Q70" s="1335"/>
      <c r="T70" s="2"/>
      <c r="U70" s="73"/>
      <c r="X70" s="2"/>
      <c r="Y70" s="73"/>
      <c r="AB70" s="2"/>
      <c r="AC70" s="73"/>
    </row>
    <row r="71" spans="1:29" s="4" customFormat="1" x14ac:dyDescent="0.25">
      <c r="A71" s="151"/>
      <c r="B71" s="1323" t="s">
        <v>16</v>
      </c>
      <c r="C71" s="1259"/>
      <c r="D71" s="6"/>
      <c r="E71" s="1250"/>
      <c r="F71" s="6"/>
      <c r="G71" s="1539"/>
      <c r="H71" s="616"/>
      <c r="I71" s="1257"/>
      <c r="J71" s="58"/>
      <c r="K71" s="1571"/>
      <c r="L71" s="6"/>
      <c r="M71" s="1337"/>
      <c r="O71" s="1571"/>
      <c r="P71" s="6"/>
      <c r="Q71" s="1337"/>
      <c r="R71" s="111"/>
      <c r="U71" s="71"/>
      <c r="Y71" s="71"/>
      <c r="AC71" s="71"/>
    </row>
    <row r="72" spans="1:29" x14ac:dyDescent="0.25">
      <c r="A72" s="153"/>
      <c r="B72" s="1326">
        <v>5213</v>
      </c>
      <c r="C72" s="1243" t="s">
        <v>262</v>
      </c>
      <c r="D72" s="2">
        <v>12222</v>
      </c>
      <c r="E72" s="1249"/>
      <c r="F72" s="2"/>
      <c r="G72" s="1527">
        <f t="shared" ref="G72:G77" si="40">IF(D72=0,"0.00%",(H72-D72)/D72)</f>
        <v>-1.8163966617574866E-2</v>
      </c>
      <c r="H72" s="2">
        <v>12000</v>
      </c>
      <c r="I72" s="1257"/>
      <c r="J72" s="66"/>
      <c r="K72" s="1527">
        <f t="shared" ref="K72:K83" si="41">IF(H72=0,"0.00%",(L72-H72)/H72)</f>
        <v>-0.58333333333333337</v>
      </c>
      <c r="L72" s="2">
        <v>5000</v>
      </c>
      <c r="M72" s="1240"/>
      <c r="O72" s="1527">
        <f t="shared" ref="O72:O89" si="42">IF(L72=0,"0.00%",(P72-L72)/L72)</f>
        <v>0</v>
      </c>
      <c r="P72" s="2">
        <f t="shared" ref="P72:P88" si="43">ROUND(L72*(1-$P$58),0)</f>
        <v>5000</v>
      </c>
      <c r="Q72" s="1240"/>
      <c r="S72" s="83">
        <f t="shared" ref="S72:S89" si="44">IF(P72=0,"0.00%",(T72-P72)/P72)</f>
        <v>2.7400000000000001E-2</v>
      </c>
      <c r="T72" s="2">
        <f>ROUND(P72*(LEFT(U72,5)+1),0)</f>
        <v>5137</v>
      </c>
      <c r="U72" s="81" t="str">
        <f>TEXT('MYP Assumptions'!H72,"0.00%")&amp;", CPI"</f>
        <v>2.73%, CPI</v>
      </c>
      <c r="W72" s="83">
        <f t="shared" ref="W72:W89" si="45">IF(T72=0,"0.00%",(X72-T72)/T72)</f>
        <v>2.7253260657971578E-2</v>
      </c>
      <c r="X72" s="2">
        <f>ROUND(T72*(LEFT(Y72,5)+1),0)</f>
        <v>5277</v>
      </c>
      <c r="Y72" s="81" t="str">
        <f>TEXT('MYP Assumptions'!I72,"0.00%")&amp;", CPI"</f>
        <v>2.73%, CPI</v>
      </c>
      <c r="AA72" s="83">
        <f t="shared" ref="AA72:AA89" si="46">IF(X72=0,"0.00%",(AB72-X72)/X72)</f>
        <v>2.7288231949971573E-2</v>
      </c>
      <c r="AB72" s="2">
        <f>ROUND(X72*(LEFT(AC72,5)+1),0)</f>
        <v>5421</v>
      </c>
      <c r="AC72" s="81" t="str">
        <f>TEXT('MYP Assumptions'!J72,"0.00%")&amp;", CPI"</f>
        <v>2.73%, CPI</v>
      </c>
    </row>
    <row r="73" spans="1:29" x14ac:dyDescent="0.25">
      <c r="A73" s="153"/>
      <c r="B73" s="1326">
        <v>5310</v>
      </c>
      <c r="C73" s="1243" t="s">
        <v>12</v>
      </c>
      <c r="D73" s="2">
        <v>1000</v>
      </c>
      <c r="E73" s="1249"/>
      <c r="F73" s="2"/>
      <c r="G73" s="1527">
        <f t="shared" si="40"/>
        <v>0</v>
      </c>
      <c r="H73" s="2">
        <f t="shared" ref="H73:H87" si="47">+D73*(1-$H$71)</f>
        <v>1000</v>
      </c>
      <c r="I73" s="1257"/>
      <c r="J73" s="66"/>
      <c r="K73" s="1527">
        <f t="shared" si="41"/>
        <v>0</v>
      </c>
      <c r="L73" s="2">
        <f>+H73</f>
        <v>1000</v>
      </c>
      <c r="M73" s="1240"/>
      <c r="O73" s="1527">
        <f t="shared" si="42"/>
        <v>0</v>
      </c>
      <c r="P73" s="2">
        <f t="shared" si="43"/>
        <v>1000</v>
      </c>
      <c r="Q73" s="1240"/>
      <c r="S73" s="83">
        <f t="shared" si="44"/>
        <v>2.7E-2</v>
      </c>
      <c r="T73" s="2">
        <f t="shared" ref="T73:T88" si="48">ROUND(P73*(LEFT(U73,5)+1),0)</f>
        <v>1027</v>
      </c>
      <c r="U73" s="81" t="str">
        <f>TEXT('MYP Assumptions'!H72,"0.00%")&amp;", CPI"</f>
        <v>2.73%, CPI</v>
      </c>
      <c r="W73" s="83">
        <f t="shared" si="45"/>
        <v>2.7263875365141188E-2</v>
      </c>
      <c r="X73" s="2">
        <f t="shared" ref="X73:X88" si="49">ROUND(T73*(LEFT(Y73,5)+1),0)</f>
        <v>1055</v>
      </c>
      <c r="Y73" s="81" t="str">
        <f>TEXT('MYP Assumptions'!I72,"0.00%")&amp;", CPI"</f>
        <v>2.73%, CPI</v>
      </c>
      <c r="AA73" s="83">
        <f t="shared" si="46"/>
        <v>2.7488151658767772E-2</v>
      </c>
      <c r="AB73" s="2">
        <f t="shared" ref="AB73:AB88" si="50">ROUND(X73*(LEFT(AC73,5)+1),0)</f>
        <v>1084</v>
      </c>
      <c r="AC73" s="81" t="str">
        <f>TEXT('MYP Assumptions'!J72,"0.00%")&amp;", CPI"</f>
        <v>2.73%, CPI</v>
      </c>
    </row>
    <row r="74" spans="1:29" x14ac:dyDescent="0.25">
      <c r="A74" s="153"/>
      <c r="B74" s="1326">
        <v>5504</v>
      </c>
      <c r="C74" s="1243" t="s">
        <v>331</v>
      </c>
      <c r="D74" s="2">
        <v>9500</v>
      </c>
      <c r="E74" s="1249"/>
      <c r="F74" s="2"/>
      <c r="G74" s="1527">
        <f t="shared" si="40"/>
        <v>0</v>
      </c>
      <c r="H74" s="2">
        <f t="shared" si="47"/>
        <v>9500</v>
      </c>
      <c r="I74" s="1257"/>
      <c r="J74" s="66"/>
      <c r="K74" s="1527">
        <f t="shared" si="41"/>
        <v>0</v>
      </c>
      <c r="L74" s="2">
        <f t="shared" ref="L74:L88" si="51">+H74</f>
        <v>9500</v>
      </c>
      <c r="M74" s="1240"/>
      <c r="O74" s="1527">
        <f t="shared" si="42"/>
        <v>0</v>
      </c>
      <c r="P74" s="2">
        <f t="shared" si="43"/>
        <v>9500</v>
      </c>
      <c r="Q74" s="1240"/>
      <c r="S74" s="83">
        <f t="shared" si="44"/>
        <v>2.7263157894736843E-2</v>
      </c>
      <c r="T74" s="2">
        <f t="shared" si="48"/>
        <v>9759</v>
      </c>
      <c r="U74" s="81" t="str">
        <f>TEXT('MYP Assumptions'!H72,"0.00%")&amp;", CPI"</f>
        <v>2.73%, CPI</v>
      </c>
      <c r="W74" s="83">
        <f t="shared" si="45"/>
        <v>2.7256891074905216E-2</v>
      </c>
      <c r="X74" s="2">
        <f t="shared" si="49"/>
        <v>10025</v>
      </c>
      <c r="Y74" s="81" t="str">
        <f>TEXT('MYP Assumptions'!I72,"0.00%")&amp;", CPI"</f>
        <v>2.73%, CPI</v>
      </c>
      <c r="AA74" s="83">
        <f t="shared" si="46"/>
        <v>2.7331670822942643E-2</v>
      </c>
      <c r="AB74" s="2">
        <f t="shared" si="50"/>
        <v>10299</v>
      </c>
      <c r="AC74" s="81" t="str">
        <f>TEXT('MYP Assumptions'!J72,"0.00%")&amp;", CPI"</f>
        <v>2.73%, CPI</v>
      </c>
    </row>
    <row r="75" spans="1:29" x14ac:dyDescent="0.25">
      <c r="A75" s="153"/>
      <c r="B75" s="1326">
        <v>5508</v>
      </c>
      <c r="C75" s="1243" t="s">
        <v>332</v>
      </c>
      <c r="D75" s="2">
        <v>8200</v>
      </c>
      <c r="E75" s="1249"/>
      <c r="F75" s="2"/>
      <c r="G75" s="1527">
        <f t="shared" si="40"/>
        <v>0</v>
      </c>
      <c r="H75" s="2">
        <f t="shared" si="47"/>
        <v>8200</v>
      </c>
      <c r="I75" s="1257"/>
      <c r="J75" s="66"/>
      <c r="K75" s="1527">
        <f t="shared" si="41"/>
        <v>0</v>
      </c>
      <c r="L75" s="2">
        <f t="shared" si="51"/>
        <v>8200</v>
      </c>
      <c r="M75" s="1240"/>
      <c r="O75" s="1527">
        <f t="shared" si="42"/>
        <v>0</v>
      </c>
      <c r="P75" s="2">
        <f t="shared" si="43"/>
        <v>8200</v>
      </c>
      <c r="Q75" s="1240"/>
      <c r="S75" s="83">
        <f t="shared" si="44"/>
        <v>2.7317073170731707E-2</v>
      </c>
      <c r="T75" s="2">
        <f t="shared" si="48"/>
        <v>8424</v>
      </c>
      <c r="U75" s="81" t="str">
        <f>TEXT('MYP Assumptions'!H72,"0.00%")&amp;", CPI"</f>
        <v>2.73%, CPI</v>
      </c>
      <c r="W75" s="83">
        <f t="shared" si="45"/>
        <v>2.7302943969610638E-2</v>
      </c>
      <c r="X75" s="2">
        <f t="shared" si="49"/>
        <v>8654</v>
      </c>
      <c r="Y75" s="81" t="str">
        <f>TEXT('MYP Assumptions'!I72,"0.00%")&amp;", CPI"</f>
        <v>2.73%, CPI</v>
      </c>
      <c r="AA75" s="83">
        <f t="shared" si="46"/>
        <v>2.727062629997689E-2</v>
      </c>
      <c r="AB75" s="2">
        <f t="shared" si="50"/>
        <v>8890</v>
      </c>
      <c r="AC75" s="81" t="str">
        <f>TEXT('MYP Assumptions'!J72,"0.00%")&amp;", CPI"</f>
        <v>2.73%, CPI</v>
      </c>
    </row>
    <row r="76" spans="1:29" x14ac:dyDescent="0.25">
      <c r="A76" s="153"/>
      <c r="B76" s="1326">
        <v>5600</v>
      </c>
      <c r="C76" s="1243" t="s">
        <v>333</v>
      </c>
      <c r="D76" s="2">
        <v>1056286</v>
      </c>
      <c r="E76" s="1249"/>
      <c r="F76" s="2"/>
      <c r="G76" s="1527">
        <f t="shared" si="40"/>
        <v>0.35153736772048477</v>
      </c>
      <c r="H76" s="2">
        <v>1427610</v>
      </c>
      <c r="I76" s="1257"/>
      <c r="J76" s="66"/>
      <c r="K76" s="1527">
        <f t="shared" si="41"/>
        <v>-0.29952858273618144</v>
      </c>
      <c r="L76" s="2">
        <v>1000000</v>
      </c>
      <c r="M76" s="1240"/>
      <c r="O76" s="1527">
        <f t="shared" si="42"/>
        <v>0</v>
      </c>
      <c r="P76" s="2">
        <f t="shared" si="43"/>
        <v>1000000</v>
      </c>
      <c r="Q76" s="1240"/>
      <c r="S76" s="83">
        <f t="shared" si="44"/>
        <v>2.7300000000000001E-2</v>
      </c>
      <c r="T76" s="2">
        <f t="shared" si="48"/>
        <v>1027300</v>
      </c>
      <c r="U76" s="81" t="str">
        <f>TEXT('MYP Assumptions'!H72,"0.00%")&amp;", CPI"</f>
        <v>2.73%, CPI</v>
      </c>
      <c r="W76" s="83">
        <f t="shared" si="45"/>
        <v>2.729971770660956E-2</v>
      </c>
      <c r="X76" s="2">
        <f t="shared" si="49"/>
        <v>1055345</v>
      </c>
      <c r="Y76" s="81" t="str">
        <f>TEXT('MYP Assumptions'!I72,"0.00%")&amp;", CPI"</f>
        <v>2.73%, CPI</v>
      </c>
      <c r="AA76" s="83">
        <f t="shared" si="46"/>
        <v>2.7300077225930856E-2</v>
      </c>
      <c r="AB76" s="2">
        <f t="shared" si="50"/>
        <v>1084156</v>
      </c>
      <c r="AC76" s="81" t="str">
        <f>TEXT('MYP Assumptions'!J72,"0.00%")&amp;", CPI"</f>
        <v>2.73%, CPI</v>
      </c>
    </row>
    <row r="77" spans="1:29" x14ac:dyDescent="0.25">
      <c r="A77" s="153"/>
      <c r="B77" s="1326">
        <v>5601</v>
      </c>
      <c r="C77" s="1243" t="s">
        <v>335</v>
      </c>
      <c r="D77" s="2">
        <v>6000</v>
      </c>
      <c r="E77" s="1249"/>
      <c r="F77" s="2"/>
      <c r="G77" s="1527">
        <f t="shared" si="40"/>
        <v>0.33333333333333331</v>
      </c>
      <c r="H77" s="2">
        <v>8000</v>
      </c>
      <c r="I77" s="1257"/>
      <c r="J77" s="66"/>
      <c r="K77" s="1527">
        <f t="shared" si="41"/>
        <v>-0.25</v>
      </c>
      <c r="L77" s="2">
        <v>6000</v>
      </c>
      <c r="M77" s="1240"/>
      <c r="O77" s="1527">
        <f t="shared" si="42"/>
        <v>0</v>
      </c>
      <c r="P77" s="2">
        <f t="shared" si="43"/>
        <v>6000</v>
      </c>
      <c r="Q77" s="1240"/>
      <c r="S77" s="83">
        <f t="shared" si="44"/>
        <v>2.7333333333333334E-2</v>
      </c>
      <c r="T77" s="2">
        <f t="shared" si="48"/>
        <v>6164</v>
      </c>
      <c r="U77" s="81" t="str">
        <f>TEXT('MYP Assumptions'!H72,"0.00%")&amp;", CPI"</f>
        <v>2.73%, CPI</v>
      </c>
      <c r="W77" s="83">
        <f t="shared" si="45"/>
        <v>2.7255029201817001E-2</v>
      </c>
      <c r="X77" s="2">
        <f t="shared" si="49"/>
        <v>6332</v>
      </c>
      <c r="Y77" s="81" t="str">
        <f>TEXT('MYP Assumptions'!I72,"0.00%")&amp;", CPI"</f>
        <v>2.73%, CPI</v>
      </c>
      <c r="AA77" s="83">
        <f t="shared" si="46"/>
        <v>2.7321541377132028E-2</v>
      </c>
      <c r="AB77" s="2">
        <f t="shared" si="50"/>
        <v>6505</v>
      </c>
      <c r="AC77" s="81" t="str">
        <f>TEXT('MYP Assumptions'!J72,"0.00%")&amp;", CPI"</f>
        <v>2.73%, CPI</v>
      </c>
    </row>
    <row r="78" spans="1:29" x14ac:dyDescent="0.25">
      <c r="A78" s="153"/>
      <c r="B78" s="1326">
        <v>5604</v>
      </c>
      <c r="C78" s="1243" t="s">
        <v>334</v>
      </c>
      <c r="D78" s="2">
        <v>3500</v>
      </c>
      <c r="E78" s="1249"/>
      <c r="F78" s="2"/>
      <c r="G78" s="1527">
        <f>IF(D78=0,"0.00%",(H78-D78)/D78)</f>
        <v>1.7142857142857142</v>
      </c>
      <c r="H78" s="2">
        <v>9500</v>
      </c>
      <c r="I78" s="1257"/>
      <c r="J78" s="66"/>
      <c r="K78" s="1527">
        <f t="shared" si="41"/>
        <v>-0.63157894736842102</v>
      </c>
      <c r="L78" s="2">
        <v>3500</v>
      </c>
      <c r="M78" s="1240"/>
      <c r="O78" s="1527">
        <f t="shared" si="42"/>
        <v>0</v>
      </c>
      <c r="P78" s="2">
        <f t="shared" si="43"/>
        <v>3500</v>
      </c>
      <c r="Q78" s="1240"/>
      <c r="S78" s="83">
        <f t="shared" si="44"/>
        <v>2.7428571428571427E-2</v>
      </c>
      <c r="T78" s="2">
        <f t="shared" si="48"/>
        <v>3596</v>
      </c>
      <c r="U78" s="81" t="str">
        <f>TEXT('MYP Assumptions'!H72,"0.00%")&amp;", CPI"</f>
        <v>2.73%, CPI</v>
      </c>
      <c r="W78" s="83">
        <f t="shared" si="45"/>
        <v>2.7252502780867632E-2</v>
      </c>
      <c r="X78" s="2">
        <f t="shared" si="49"/>
        <v>3694</v>
      </c>
      <c r="Y78" s="81" t="str">
        <f>TEXT('MYP Assumptions'!I72,"0.00%")&amp;", CPI"</f>
        <v>2.73%, CPI</v>
      </c>
      <c r="AA78" s="83">
        <f t="shared" si="46"/>
        <v>2.7341635083919871E-2</v>
      </c>
      <c r="AB78" s="2">
        <f t="shared" si="50"/>
        <v>3795</v>
      </c>
      <c r="AC78" s="81" t="str">
        <f>TEXT('MYP Assumptions'!J72,"0.00%")&amp;", CPI"</f>
        <v>2.73%, CPI</v>
      </c>
    </row>
    <row r="79" spans="1:29" x14ac:dyDescent="0.25">
      <c r="A79" s="153"/>
      <c r="B79" s="1326">
        <v>5606</v>
      </c>
      <c r="C79" s="1243" t="s">
        <v>336</v>
      </c>
      <c r="D79" s="2">
        <v>6500</v>
      </c>
      <c r="E79" s="1249"/>
      <c r="F79" s="2"/>
      <c r="G79" s="1527">
        <f t="shared" ref="G79:G89" si="52">IF(D79=0,"0.00%",(H79-D79)/D79)</f>
        <v>1.0769230769230769</v>
      </c>
      <c r="H79" s="2">
        <v>13500</v>
      </c>
      <c r="I79" s="1257"/>
      <c r="J79" s="66"/>
      <c r="K79" s="1527">
        <f t="shared" si="41"/>
        <v>-0.51851851851851849</v>
      </c>
      <c r="L79" s="2">
        <v>6500</v>
      </c>
      <c r="M79" s="1240"/>
      <c r="O79" s="1527">
        <f t="shared" si="42"/>
        <v>0</v>
      </c>
      <c r="P79" s="2">
        <f t="shared" si="43"/>
        <v>6500</v>
      </c>
      <c r="Q79" s="1240"/>
      <c r="S79" s="83">
        <f t="shared" si="44"/>
        <v>2.7230769230769232E-2</v>
      </c>
      <c r="T79" s="2">
        <f t="shared" si="48"/>
        <v>6677</v>
      </c>
      <c r="U79" s="81" t="str">
        <f>TEXT('MYP Assumptions'!H72,"0.00%")&amp;", CPI"</f>
        <v>2.73%, CPI</v>
      </c>
      <c r="W79" s="83">
        <f t="shared" si="45"/>
        <v>2.7257750486745544E-2</v>
      </c>
      <c r="X79" s="2">
        <f t="shared" si="49"/>
        <v>6859</v>
      </c>
      <c r="Y79" s="81" t="str">
        <f>TEXT('MYP Assumptions'!I72,"0.00%")&amp;", CPI"</f>
        <v>2.73%, CPI</v>
      </c>
      <c r="AA79" s="83">
        <f t="shared" si="46"/>
        <v>2.7263449482431843E-2</v>
      </c>
      <c r="AB79" s="2">
        <f t="shared" si="50"/>
        <v>7046</v>
      </c>
      <c r="AC79" s="81" t="str">
        <f>TEXT('MYP Assumptions'!J72,"0.00%")&amp;", CPI"</f>
        <v>2.73%, CPI</v>
      </c>
    </row>
    <row r="80" spans="1:29" x14ac:dyDescent="0.25">
      <c r="A80" s="153"/>
      <c r="B80" s="1326">
        <v>5608</v>
      </c>
      <c r="C80" s="1243" t="s">
        <v>337</v>
      </c>
      <c r="D80" s="2">
        <v>3000</v>
      </c>
      <c r="E80" s="1249"/>
      <c r="F80" s="2"/>
      <c r="G80" s="1527">
        <f t="shared" si="52"/>
        <v>0.33333333333333331</v>
      </c>
      <c r="H80" s="2">
        <v>4000</v>
      </c>
      <c r="I80" s="1257"/>
      <c r="J80" s="66"/>
      <c r="K80" s="1527">
        <f t="shared" si="41"/>
        <v>-0.25</v>
      </c>
      <c r="L80" s="2">
        <v>3000</v>
      </c>
      <c r="M80" s="1240"/>
      <c r="O80" s="1527">
        <f t="shared" si="42"/>
        <v>0</v>
      </c>
      <c r="P80" s="2">
        <f t="shared" si="43"/>
        <v>3000</v>
      </c>
      <c r="Q80" s="1240"/>
      <c r="S80" s="83">
        <f t="shared" si="44"/>
        <v>2.7333333333333334E-2</v>
      </c>
      <c r="T80" s="2">
        <f t="shared" si="48"/>
        <v>3082</v>
      </c>
      <c r="U80" s="81" t="str">
        <f>TEXT('MYP Assumptions'!H72,"0.00%")&amp;", CPI"</f>
        <v>2.73%, CPI</v>
      </c>
      <c r="W80" s="83">
        <f t="shared" si="45"/>
        <v>2.7255029201817001E-2</v>
      </c>
      <c r="X80" s="2">
        <f t="shared" si="49"/>
        <v>3166</v>
      </c>
      <c r="Y80" s="81" t="str">
        <f>TEXT('MYP Assumptions'!I72,"0.00%")&amp;", CPI"</f>
        <v>2.73%, CPI</v>
      </c>
      <c r="AA80" s="83">
        <f t="shared" si="46"/>
        <v>2.7163613392293114E-2</v>
      </c>
      <c r="AB80" s="2">
        <f t="shared" si="50"/>
        <v>3252</v>
      </c>
      <c r="AC80" s="81" t="str">
        <f>TEXT('MYP Assumptions'!J72,"0.00%")&amp;", CPI"</f>
        <v>2.73%, CPI</v>
      </c>
    </row>
    <row r="81" spans="1:29" x14ac:dyDescent="0.25">
      <c r="A81" s="153"/>
      <c r="B81" s="1326">
        <v>5800</v>
      </c>
      <c r="C81" s="1243" t="s">
        <v>338</v>
      </c>
      <c r="D81" s="2">
        <v>30700</v>
      </c>
      <c r="E81" s="1249"/>
      <c r="F81" s="2"/>
      <c r="G81" s="1527">
        <f t="shared" si="52"/>
        <v>0</v>
      </c>
      <c r="H81" s="2">
        <f t="shared" si="47"/>
        <v>30700</v>
      </c>
      <c r="I81" s="1257"/>
      <c r="J81" s="66"/>
      <c r="K81" s="1527">
        <f t="shared" si="41"/>
        <v>-2.2801302931596091E-2</v>
      </c>
      <c r="L81" s="2">
        <v>30000</v>
      </c>
      <c r="M81" s="1240"/>
      <c r="O81" s="1527">
        <f t="shared" si="42"/>
        <v>0</v>
      </c>
      <c r="P81" s="2">
        <f t="shared" si="43"/>
        <v>30000</v>
      </c>
      <c r="Q81" s="1240"/>
      <c r="S81" s="83">
        <f t="shared" si="44"/>
        <v>2.7300000000000001E-2</v>
      </c>
      <c r="T81" s="2">
        <f t="shared" si="48"/>
        <v>30819</v>
      </c>
      <c r="U81" s="81" t="str">
        <f>TEXT('MYP Assumptions'!H72,"0.00%")&amp;", CPI"</f>
        <v>2.73%, CPI</v>
      </c>
      <c r="W81" s="83">
        <f t="shared" si="45"/>
        <v>2.7288361075959635E-2</v>
      </c>
      <c r="X81" s="2">
        <f t="shared" si="49"/>
        <v>31660</v>
      </c>
      <c r="Y81" s="81" t="str">
        <f>TEXT('MYP Assumptions'!I72,"0.00%")&amp;", CPI"</f>
        <v>2.73%, CPI</v>
      </c>
      <c r="AA81" s="83">
        <f t="shared" si="46"/>
        <v>2.7289955780164243E-2</v>
      </c>
      <c r="AB81" s="2">
        <f t="shared" si="50"/>
        <v>32524</v>
      </c>
      <c r="AC81" s="81" t="str">
        <f>TEXT('MYP Assumptions'!J72,"0.00%")&amp;", CPI"</f>
        <v>2.73%, CPI</v>
      </c>
    </row>
    <row r="82" spans="1:29" x14ac:dyDescent="0.25">
      <c r="A82" s="153"/>
      <c r="B82" s="1326">
        <v>5803</v>
      </c>
      <c r="C82" s="1243" t="s">
        <v>339</v>
      </c>
      <c r="D82" s="2">
        <v>5000</v>
      </c>
      <c r="E82" s="1249"/>
      <c r="F82" s="2"/>
      <c r="G82" s="1527">
        <f t="shared" si="52"/>
        <v>0</v>
      </c>
      <c r="H82" s="2">
        <f t="shared" si="47"/>
        <v>5000</v>
      </c>
      <c r="I82" s="1257"/>
      <c r="J82" s="66"/>
      <c r="K82" s="1527">
        <f t="shared" si="41"/>
        <v>0</v>
      </c>
      <c r="L82" s="2">
        <f t="shared" si="51"/>
        <v>5000</v>
      </c>
      <c r="M82" s="1240"/>
      <c r="O82" s="1527">
        <f t="shared" si="42"/>
        <v>0</v>
      </c>
      <c r="P82" s="2">
        <f t="shared" si="43"/>
        <v>5000</v>
      </c>
      <c r="Q82" s="1240"/>
      <c r="S82" s="83">
        <f t="shared" si="44"/>
        <v>2.7400000000000001E-2</v>
      </c>
      <c r="T82" s="2">
        <f t="shared" si="48"/>
        <v>5137</v>
      </c>
      <c r="U82" s="81" t="str">
        <f>TEXT('MYP Assumptions'!H72,"0.00%")&amp;", CPI"</f>
        <v>2.73%, CPI</v>
      </c>
      <c r="W82" s="83">
        <f t="shared" si="45"/>
        <v>2.7253260657971578E-2</v>
      </c>
      <c r="X82" s="2">
        <f t="shared" si="49"/>
        <v>5277</v>
      </c>
      <c r="Y82" s="81" t="str">
        <f>TEXT('MYP Assumptions'!I72,"0.00%")&amp;", CPI"</f>
        <v>2.73%, CPI</v>
      </c>
      <c r="AA82" s="83">
        <f t="shared" si="46"/>
        <v>2.7288231949971573E-2</v>
      </c>
      <c r="AB82" s="2">
        <f t="shared" si="50"/>
        <v>5421</v>
      </c>
      <c r="AC82" s="81" t="str">
        <f>TEXT('MYP Assumptions'!J72,"0.00%")&amp;", CPI"</f>
        <v>2.73%, CPI</v>
      </c>
    </row>
    <row r="83" spans="1:29" x14ac:dyDescent="0.25">
      <c r="A83" s="153"/>
      <c r="B83" s="1326">
        <v>5809</v>
      </c>
      <c r="C83" s="1243" t="s">
        <v>123</v>
      </c>
      <c r="D83" s="2">
        <v>1000</v>
      </c>
      <c r="E83" s="1249"/>
      <c r="F83" s="2"/>
      <c r="G83" s="1527">
        <f t="shared" si="52"/>
        <v>0</v>
      </c>
      <c r="H83" s="2">
        <f t="shared" si="47"/>
        <v>1000</v>
      </c>
      <c r="I83" s="1257"/>
      <c r="J83" s="66"/>
      <c r="K83" s="1527">
        <f t="shared" si="41"/>
        <v>0</v>
      </c>
      <c r="L83" s="2">
        <f t="shared" si="51"/>
        <v>1000</v>
      </c>
      <c r="M83" s="1240"/>
      <c r="O83" s="1527">
        <f t="shared" si="42"/>
        <v>0</v>
      </c>
      <c r="P83" s="2">
        <f t="shared" si="43"/>
        <v>1000</v>
      </c>
      <c r="Q83" s="1240"/>
      <c r="S83" s="83">
        <f t="shared" si="44"/>
        <v>2.7E-2</v>
      </c>
      <c r="T83" s="2">
        <f t="shared" si="48"/>
        <v>1027</v>
      </c>
      <c r="U83" s="81" t="str">
        <f>TEXT('MYP Assumptions'!H72,"0.00%")&amp;", CPI"</f>
        <v>2.73%, CPI</v>
      </c>
      <c r="W83" s="83">
        <f t="shared" si="45"/>
        <v>2.7263875365141188E-2</v>
      </c>
      <c r="X83" s="2">
        <f t="shared" si="49"/>
        <v>1055</v>
      </c>
      <c r="Y83" s="81" t="str">
        <f>TEXT('MYP Assumptions'!I72,"0.00%")&amp;", CPI"</f>
        <v>2.73%, CPI</v>
      </c>
      <c r="AA83" s="83">
        <f t="shared" si="46"/>
        <v>2.7488151658767772E-2</v>
      </c>
      <c r="AB83" s="2">
        <f t="shared" si="50"/>
        <v>1084</v>
      </c>
      <c r="AC83" s="81" t="str">
        <f>TEXT('MYP Assumptions'!J72,"0.00%")&amp;", CPI"</f>
        <v>2.73%, CPI</v>
      </c>
    </row>
    <row r="84" spans="1:29" x14ac:dyDescent="0.25">
      <c r="A84" s="153"/>
      <c r="B84" s="1326">
        <v>5813</v>
      </c>
      <c r="C84" s="1243" t="s">
        <v>6</v>
      </c>
      <c r="D84" s="2">
        <v>61400</v>
      </c>
      <c r="E84" s="1249"/>
      <c r="F84" s="2"/>
      <c r="G84" s="1527">
        <f t="shared" ref="G84:G88" si="53">IF(D84=0,"0.00%",(H84-D84)/D84)</f>
        <v>7.7035830618892506E-3</v>
      </c>
      <c r="H84" s="2">
        <v>61873</v>
      </c>
      <c r="I84" s="1257"/>
      <c r="J84" s="66"/>
      <c r="K84" s="1527">
        <f t="shared" ref="K84:K88" si="54">IF(H84=0,"0.00%",(L84-H84)/H84)</f>
        <v>-3.0271685549431902E-2</v>
      </c>
      <c r="L84" s="2">
        <v>60000</v>
      </c>
      <c r="M84" s="1240"/>
      <c r="O84" s="1527">
        <f t="shared" ref="O84:O88" si="55">IF(L84=0,"0.00%",(P84-L84)/L84)</f>
        <v>0</v>
      </c>
      <c r="P84" s="2">
        <f t="shared" si="43"/>
        <v>60000</v>
      </c>
      <c r="Q84" s="1240"/>
      <c r="S84" s="83"/>
      <c r="T84" s="2"/>
      <c r="U84" s="81"/>
      <c r="W84" s="83"/>
      <c r="X84" s="2"/>
      <c r="Y84" s="81"/>
      <c r="AA84" s="83"/>
      <c r="AB84" s="2"/>
      <c r="AC84" s="81"/>
    </row>
    <row r="85" spans="1:29" x14ac:dyDescent="0.25">
      <c r="A85" s="153"/>
      <c r="B85" s="1326">
        <v>5814</v>
      </c>
      <c r="C85" s="1243" t="s">
        <v>4</v>
      </c>
      <c r="D85" s="2">
        <v>59029</v>
      </c>
      <c r="E85" s="1249"/>
      <c r="F85" s="2"/>
      <c r="G85" s="1527">
        <f t="shared" si="53"/>
        <v>-3.4372935336868318E-2</v>
      </c>
      <c r="H85" s="2">
        <v>57000</v>
      </c>
      <c r="I85" s="1257"/>
      <c r="J85" s="66"/>
      <c r="K85" s="1527">
        <f t="shared" si="54"/>
        <v>0</v>
      </c>
      <c r="L85" s="2">
        <f t="shared" si="51"/>
        <v>57000</v>
      </c>
      <c r="M85" s="1240"/>
      <c r="O85" s="1527">
        <f t="shared" si="55"/>
        <v>0</v>
      </c>
      <c r="P85" s="2">
        <f t="shared" si="43"/>
        <v>57000</v>
      </c>
      <c r="Q85" s="1240"/>
      <c r="S85" s="83"/>
      <c r="T85" s="2"/>
      <c r="U85" s="81"/>
      <c r="W85" s="83"/>
      <c r="X85" s="2"/>
      <c r="Y85" s="81"/>
      <c r="AA85" s="83"/>
      <c r="AB85" s="2"/>
      <c r="AC85" s="81"/>
    </row>
    <row r="86" spans="1:29" x14ac:dyDescent="0.25">
      <c r="A86" s="153"/>
      <c r="B86" s="1326">
        <v>5902</v>
      </c>
      <c r="C86" s="1243" t="s">
        <v>340</v>
      </c>
      <c r="D86" s="2">
        <v>3000</v>
      </c>
      <c r="E86" s="1249"/>
      <c r="F86" s="2"/>
      <c r="G86" s="1527">
        <f t="shared" si="53"/>
        <v>-6.6666666666666666E-2</v>
      </c>
      <c r="H86" s="2">
        <v>2800</v>
      </c>
      <c r="I86" s="1257"/>
      <c r="J86" s="66"/>
      <c r="K86" s="1527">
        <f t="shared" si="54"/>
        <v>0</v>
      </c>
      <c r="L86" s="2">
        <f t="shared" si="51"/>
        <v>2800</v>
      </c>
      <c r="M86" s="1240"/>
      <c r="O86" s="1527">
        <f t="shared" si="55"/>
        <v>0</v>
      </c>
      <c r="P86" s="2">
        <f t="shared" si="43"/>
        <v>2800</v>
      </c>
      <c r="Q86" s="1240"/>
      <c r="S86" s="83"/>
      <c r="T86" s="2"/>
      <c r="U86" s="81"/>
      <c r="W86" s="83"/>
      <c r="X86" s="2"/>
      <c r="Y86" s="81"/>
      <c r="AA86" s="83"/>
      <c r="AB86" s="2"/>
      <c r="AC86" s="81"/>
    </row>
    <row r="87" spans="1:29" x14ac:dyDescent="0.25">
      <c r="A87" s="153"/>
      <c r="B87" s="1326">
        <v>5908</v>
      </c>
      <c r="C87" s="1243" t="s">
        <v>341</v>
      </c>
      <c r="D87" s="2">
        <v>50</v>
      </c>
      <c r="E87" s="1249"/>
      <c r="F87" s="2"/>
      <c r="G87" s="1527">
        <f t="shared" si="53"/>
        <v>0</v>
      </c>
      <c r="H87" s="2">
        <f t="shared" si="47"/>
        <v>50</v>
      </c>
      <c r="I87" s="1257"/>
      <c r="J87" s="66"/>
      <c r="K87" s="1527">
        <f t="shared" si="54"/>
        <v>0</v>
      </c>
      <c r="L87" s="2">
        <f t="shared" si="51"/>
        <v>50</v>
      </c>
      <c r="M87" s="1240"/>
      <c r="O87" s="1527">
        <f t="shared" si="55"/>
        <v>0</v>
      </c>
      <c r="P87" s="2">
        <f>ROUND(L87*(1-$P$58),0)</f>
        <v>50</v>
      </c>
      <c r="Q87" s="1240"/>
      <c r="S87" s="83"/>
      <c r="T87" s="2"/>
      <c r="U87" s="81"/>
      <c r="W87" s="83"/>
      <c r="X87" s="2"/>
      <c r="Y87" s="81"/>
      <c r="AA87" s="83"/>
      <c r="AB87" s="2"/>
      <c r="AC87" s="81"/>
    </row>
    <row r="88" spans="1:29" x14ac:dyDescent="0.25">
      <c r="A88" s="153"/>
      <c r="B88" s="1326"/>
      <c r="D88" s="2">
        <f>'RS 3010-ALL'!AF80</f>
        <v>0</v>
      </c>
      <c r="E88" s="1249"/>
      <c r="F88" s="2"/>
      <c r="G88" s="1527" t="str">
        <f t="shared" si="53"/>
        <v>0.00%</v>
      </c>
      <c r="H88" s="2">
        <v>0</v>
      </c>
      <c r="I88" s="1240"/>
      <c r="J88" s="66"/>
      <c r="K88" s="1527" t="str">
        <f t="shared" si="54"/>
        <v>0.00%</v>
      </c>
      <c r="L88" s="2">
        <f t="shared" si="51"/>
        <v>0</v>
      </c>
      <c r="M88" s="1240"/>
      <c r="O88" s="1527" t="str">
        <f t="shared" si="55"/>
        <v>0.00%</v>
      </c>
      <c r="P88" s="2">
        <f t="shared" si="43"/>
        <v>0</v>
      </c>
      <c r="Q88" s="1240"/>
      <c r="S88" s="83" t="str">
        <f t="shared" si="44"/>
        <v>0.00%</v>
      </c>
      <c r="T88" s="2">
        <f t="shared" si="48"/>
        <v>0</v>
      </c>
      <c r="U88" s="81" t="str">
        <f>TEXT('MYP Assumptions'!H72,"0.00%")&amp;", CPI"</f>
        <v>2.73%, CPI</v>
      </c>
      <c r="W88" s="83" t="str">
        <f t="shared" si="45"/>
        <v>0.00%</v>
      </c>
      <c r="X88" s="2">
        <f t="shared" si="49"/>
        <v>0</v>
      </c>
      <c r="Y88" s="81" t="str">
        <f>TEXT('MYP Assumptions'!I72,"0.00%")&amp;", CPI"</f>
        <v>2.73%, CPI</v>
      </c>
      <c r="AA88" s="83" t="str">
        <f t="shared" si="46"/>
        <v>0.00%</v>
      </c>
      <c r="AB88" s="2">
        <f t="shared" si="50"/>
        <v>0</v>
      </c>
      <c r="AC88" s="81" t="str">
        <f>TEXT('MYP Assumptions'!J72,"0.00%")&amp;", CPI"</f>
        <v>2.73%, CPI</v>
      </c>
    </row>
    <row r="89" spans="1:29" x14ac:dyDescent="0.25">
      <c r="A89" s="154"/>
      <c r="D89" s="8">
        <f>SUM(D72:D88)</f>
        <v>1266387</v>
      </c>
      <c r="E89" s="1249"/>
      <c r="F89" s="2"/>
      <c r="G89" s="1527">
        <f t="shared" si="52"/>
        <v>0.30428770983909342</v>
      </c>
      <c r="H89" s="8">
        <f>SUM(H72:H88)</f>
        <v>1651733</v>
      </c>
      <c r="I89" s="1882">
        <f>+H89-D89</f>
        <v>385346</v>
      </c>
      <c r="J89" s="29"/>
      <c r="K89" s="1527">
        <f>IF(H89=0,"0.00%",(L89-H89)/H89)</f>
        <v>-0.27436819389090128</v>
      </c>
      <c r="L89" s="8">
        <f>SUM(L72:L88)</f>
        <v>1198550</v>
      </c>
      <c r="M89" s="1882">
        <f>+L89-H89</f>
        <v>-453183</v>
      </c>
      <c r="O89" s="1527">
        <f t="shared" si="42"/>
        <v>0</v>
      </c>
      <c r="P89" s="8">
        <f>SUM(P72:P88)</f>
        <v>1198550</v>
      </c>
      <c r="Q89" s="1882">
        <f>+P89-L89</f>
        <v>0</v>
      </c>
      <c r="S89" s="83">
        <f t="shared" si="44"/>
        <v>-7.5425305577572904E-2</v>
      </c>
      <c r="T89" s="8">
        <f>SUM(T72:T88)</f>
        <v>1108149</v>
      </c>
      <c r="U89" s="73"/>
      <c r="W89" s="83">
        <f t="shared" si="45"/>
        <v>2.7297773133396323E-2</v>
      </c>
      <c r="X89" s="8">
        <f>SUM(X72:X88)</f>
        <v>1138399</v>
      </c>
      <c r="Y89" s="73"/>
      <c r="AA89" s="83">
        <f t="shared" si="46"/>
        <v>2.7299742884524671E-2</v>
      </c>
      <c r="AB89" s="8">
        <f>SUM(AB72:AB88)</f>
        <v>1169477</v>
      </c>
      <c r="AC89" s="73"/>
    </row>
    <row r="90" spans="1:29" x14ac:dyDescent="0.25">
      <c r="A90" s="153"/>
      <c r="B90" s="1323"/>
      <c r="E90" s="1249"/>
      <c r="F90" s="2"/>
      <c r="G90" s="1527"/>
      <c r="H90" s="2"/>
      <c r="I90" s="1257"/>
      <c r="J90" s="66"/>
      <c r="L90" s="2"/>
      <c r="M90" s="1486"/>
      <c r="Q90" s="1335"/>
      <c r="T90" s="2"/>
      <c r="U90" s="73"/>
      <c r="X90" s="2"/>
      <c r="Y90" s="73"/>
      <c r="AB90" s="2"/>
      <c r="AC90" s="73"/>
    </row>
    <row r="91" spans="1:29" x14ac:dyDescent="0.25">
      <c r="A91" s="153"/>
      <c r="B91" s="1323" t="s">
        <v>342</v>
      </c>
      <c r="E91" s="1249"/>
      <c r="F91" s="2"/>
      <c r="G91" s="1527"/>
      <c r="H91" s="2"/>
      <c r="I91" s="1257"/>
      <c r="J91" s="66"/>
      <c r="L91" s="2"/>
      <c r="M91" s="1335"/>
      <c r="Q91" s="1335"/>
      <c r="T91" s="2"/>
      <c r="U91" s="73"/>
      <c r="X91" s="2"/>
      <c r="Y91" s="73"/>
      <c r="AB91" s="2"/>
      <c r="AC91" s="73"/>
    </row>
    <row r="92" spans="1:29" x14ac:dyDescent="0.25">
      <c r="A92" s="153"/>
      <c r="B92" s="1326">
        <v>6400</v>
      </c>
      <c r="C92" s="1243" t="s">
        <v>343</v>
      </c>
      <c r="D92" s="2">
        <v>129624</v>
      </c>
      <c r="E92" s="1249"/>
      <c r="F92" s="2"/>
      <c r="G92" s="1527"/>
      <c r="H92" s="2">
        <v>70000</v>
      </c>
      <c r="I92" s="1257"/>
      <c r="J92" s="66"/>
      <c r="K92" s="1527"/>
      <c r="L92" s="2">
        <v>0</v>
      </c>
      <c r="M92" s="1335"/>
      <c r="O92" s="1527"/>
      <c r="P92" s="2">
        <v>0</v>
      </c>
      <c r="Q92" s="1335"/>
      <c r="S92" s="83"/>
      <c r="T92" s="2">
        <v>0</v>
      </c>
      <c r="U92" s="73"/>
      <c r="W92" s="83"/>
      <c r="X92" s="2">
        <v>0</v>
      </c>
      <c r="Y92" s="73"/>
      <c r="AA92" s="83"/>
      <c r="AB92" s="2">
        <v>0</v>
      </c>
      <c r="AC92" s="73"/>
    </row>
    <row r="93" spans="1:29" x14ac:dyDescent="0.25">
      <c r="A93" s="153"/>
      <c r="B93" s="1326">
        <v>6500</v>
      </c>
      <c r="C93" s="1243" t="s">
        <v>344</v>
      </c>
      <c r="D93" s="2">
        <v>53000</v>
      </c>
      <c r="E93" s="1249"/>
      <c r="F93" s="2"/>
      <c r="G93" s="1527"/>
      <c r="H93" s="2">
        <v>0</v>
      </c>
      <c r="I93" s="1257"/>
      <c r="J93" s="66"/>
      <c r="K93" s="1527"/>
      <c r="L93" s="2">
        <v>0</v>
      </c>
      <c r="M93" s="1335"/>
      <c r="O93" s="1527"/>
      <c r="P93" s="2">
        <v>0</v>
      </c>
      <c r="Q93" s="1335"/>
      <c r="S93" s="83"/>
      <c r="T93" s="2">
        <v>0</v>
      </c>
      <c r="U93" s="73"/>
      <c r="W93" s="83"/>
      <c r="X93" s="2">
        <v>0</v>
      </c>
      <c r="Y93" s="73"/>
      <c r="AA93" s="83"/>
      <c r="AB93" s="2">
        <v>0</v>
      </c>
      <c r="AC93" s="73"/>
    </row>
    <row r="94" spans="1:29" x14ac:dyDescent="0.25">
      <c r="A94" s="153"/>
      <c r="B94" s="1323"/>
      <c r="D94" s="2">
        <v>0</v>
      </c>
      <c r="E94" s="1249"/>
      <c r="F94" s="2"/>
      <c r="G94" s="1527"/>
      <c r="H94" s="2">
        <v>0</v>
      </c>
      <c r="I94" s="1257"/>
      <c r="J94" s="66"/>
      <c r="K94" s="1527"/>
      <c r="L94" s="2">
        <v>0</v>
      </c>
      <c r="M94" s="1335"/>
      <c r="O94" s="1527"/>
      <c r="P94" s="2">
        <v>0</v>
      </c>
      <c r="Q94" s="1335"/>
      <c r="S94" s="83"/>
      <c r="T94" s="2">
        <v>0</v>
      </c>
      <c r="U94" s="73"/>
      <c r="W94" s="83"/>
      <c r="X94" s="2">
        <v>0</v>
      </c>
      <c r="Y94" s="73"/>
      <c r="AA94" s="83"/>
      <c r="AB94" s="2">
        <v>0</v>
      </c>
      <c r="AC94" s="73"/>
    </row>
    <row r="95" spans="1:29" x14ac:dyDescent="0.25">
      <c r="A95" s="153"/>
      <c r="B95" s="1323"/>
      <c r="D95" s="161">
        <f>SUM(D92:D94)</f>
        <v>182624</v>
      </c>
      <c r="E95" s="1249"/>
      <c r="F95" s="2"/>
      <c r="G95" s="1527"/>
      <c r="H95" s="161">
        <f>SUM(H92:H94)</f>
        <v>70000</v>
      </c>
      <c r="I95" s="1882">
        <f>+H95-D95</f>
        <v>-112624</v>
      </c>
      <c r="J95" s="66"/>
      <c r="K95" s="1527"/>
      <c r="L95" s="161">
        <f>SUM(L92:L94)</f>
        <v>0</v>
      </c>
      <c r="M95" s="1882">
        <f>+L95-H95</f>
        <v>-70000</v>
      </c>
      <c r="O95" s="1527"/>
      <c r="P95" s="161">
        <f>SUM(P92:P94)</f>
        <v>0</v>
      </c>
      <c r="Q95" s="1882">
        <f>+P95-L95</f>
        <v>0</v>
      </c>
      <c r="S95" s="83"/>
      <c r="T95" s="112">
        <f>SUM(T92:T94)</f>
        <v>0</v>
      </c>
      <c r="U95" s="73"/>
      <c r="W95" s="83"/>
      <c r="X95" s="112">
        <f>SUM(X92:X94)</f>
        <v>0</v>
      </c>
      <c r="Y95" s="73"/>
      <c r="AA95" s="83"/>
      <c r="AB95" s="112">
        <f>SUM(AB92:AB94)</f>
        <v>0</v>
      </c>
      <c r="AC95" s="73"/>
    </row>
    <row r="96" spans="1:29" x14ac:dyDescent="0.25">
      <c r="A96" s="153"/>
      <c r="E96" s="1249"/>
      <c r="F96" s="2"/>
      <c r="H96" s="2"/>
      <c r="I96" s="1257"/>
      <c r="J96" s="66"/>
      <c r="K96" s="1399"/>
      <c r="L96" s="2"/>
      <c r="M96" s="1335"/>
      <c r="O96" s="1399"/>
      <c r="Q96" s="1335"/>
      <c r="S96" s="46"/>
      <c r="T96" s="2"/>
      <c r="U96" s="73"/>
      <c r="W96" s="46"/>
      <c r="X96" s="2"/>
      <c r="Y96" s="73"/>
      <c r="AA96" s="46"/>
      <c r="AB96" s="2"/>
      <c r="AC96" s="73"/>
    </row>
    <row r="97" spans="1:29" x14ac:dyDescent="0.25">
      <c r="A97" s="153"/>
      <c r="E97" s="1249"/>
      <c r="F97" s="2"/>
      <c r="H97" s="2"/>
      <c r="I97" s="1257"/>
      <c r="J97" s="66"/>
      <c r="K97" s="1399"/>
      <c r="L97" s="2"/>
      <c r="M97" s="1335"/>
      <c r="O97" s="1399"/>
      <c r="Q97" s="1335"/>
      <c r="S97" s="46"/>
      <c r="T97" s="2"/>
      <c r="U97" s="73"/>
      <c r="W97" s="46"/>
      <c r="X97" s="2"/>
      <c r="Y97" s="73"/>
      <c r="AA97" s="46"/>
      <c r="AB97" s="2"/>
      <c r="AC97" s="73"/>
    </row>
    <row r="98" spans="1:29" x14ac:dyDescent="0.25">
      <c r="A98" s="154"/>
      <c r="B98" s="1323" t="s">
        <v>0</v>
      </c>
      <c r="D98" s="8">
        <f>SUM(D89,D69,D55,D13+D95)</f>
        <v>2687099</v>
      </c>
      <c r="E98" s="1249"/>
      <c r="F98" s="2"/>
      <c r="G98" s="1527">
        <f>IF(D98=0,"0.00%",(H98-D98)/D98)</f>
        <v>0.13693540878099392</v>
      </c>
      <c r="H98" s="8">
        <f>SUM(H89,H69,H55,H13+H95)</f>
        <v>3055058</v>
      </c>
      <c r="I98" s="1882">
        <f>+H98-D98</f>
        <v>367959</v>
      </c>
      <c r="J98" s="29"/>
      <c r="K98" s="1527">
        <f>IF(H98=0,"0.00%",(L98-H98)/H98)</f>
        <v>-0.19985708945623945</v>
      </c>
      <c r="L98" s="8">
        <f>SUM(L89,L69,L55,L13+L95)</f>
        <v>2444483</v>
      </c>
      <c r="M98" s="1882">
        <f>+L98-H98</f>
        <v>-610575</v>
      </c>
      <c r="O98" s="1527">
        <f>IF(L98=0,"0.00%",(P98-L98)/L98)</f>
        <v>1.4674268546764286E-2</v>
      </c>
      <c r="P98" s="8">
        <f>SUM(P89,P69,P55,P13+P95)</f>
        <v>2480354</v>
      </c>
      <c r="Q98" s="1882">
        <f>+P98-L98</f>
        <v>35871</v>
      </c>
      <c r="S98" s="83">
        <f>IF(P98=0,"0.00%",(T98-P98)/P98)</f>
        <v>-2.2056125859453934E-2</v>
      </c>
      <c r="T98" s="8">
        <f>SUM(T89,T69,T55,T13+T95)</f>
        <v>2425647</v>
      </c>
      <c r="U98" s="73"/>
      <c r="W98" s="83">
        <f>IF(T98=0,"0.00%",(X98-T98)/T98)</f>
        <v>3.029253638307635E-2</v>
      </c>
      <c r="X98" s="8">
        <f>SUM(X89,X69,X55,X13+X95)</f>
        <v>2499126</v>
      </c>
      <c r="Y98" s="73"/>
      <c r="AA98" s="83">
        <f>IF(X98=0,"0.00%",(AB98-X98)/X98)</f>
        <v>2.8944519003843743E-2</v>
      </c>
      <c r="AB98" s="8">
        <f>SUM(AB89,AB69,AB55,AB13+AB95)</f>
        <v>2571462</v>
      </c>
      <c r="AC98" s="73"/>
    </row>
    <row r="99" spans="1:29" x14ac:dyDescent="0.25">
      <c r="A99" s="154"/>
      <c r="B99" s="1323"/>
      <c r="D99" s="5"/>
      <c r="E99" s="1249"/>
      <c r="F99" s="2"/>
      <c r="G99" s="1527"/>
      <c r="H99" s="5"/>
      <c r="I99" s="1258"/>
      <c r="J99" s="29"/>
      <c r="K99" s="1527"/>
      <c r="L99" s="5"/>
      <c r="M99" s="1487"/>
      <c r="O99" s="1527"/>
      <c r="P99" s="5"/>
      <c r="Q99" s="1335"/>
      <c r="S99" s="83"/>
      <c r="T99" s="5"/>
      <c r="U99" s="73"/>
      <c r="W99" s="83"/>
      <c r="X99" s="5"/>
      <c r="Y99" s="73"/>
      <c r="AA99" s="83"/>
      <c r="AB99" s="5"/>
      <c r="AC99" s="73"/>
    </row>
    <row r="100" spans="1:29" x14ac:dyDescent="0.25">
      <c r="A100" s="153"/>
      <c r="B100" s="1323" t="s">
        <v>138</v>
      </c>
      <c r="D100" s="3">
        <f>D11-D98</f>
        <v>-176290</v>
      </c>
      <c r="G100" s="1527">
        <f>IF(D100=0,"0.00%",(H100-D100)/D100)</f>
        <v>1.5313971297294231</v>
      </c>
      <c r="H100" s="3">
        <f>H11-H98</f>
        <v>-446260</v>
      </c>
      <c r="I100" s="1257"/>
      <c r="J100" s="66"/>
      <c r="K100" s="1527">
        <f>IF(H100=0,"0.00%",(L100-H100)/H100)</f>
        <v>-0.92453278357907942</v>
      </c>
      <c r="L100" s="3">
        <f>L11-L98</f>
        <v>-33678</v>
      </c>
      <c r="M100" s="1335"/>
      <c r="O100" s="1527">
        <f>IF(L100=0,"0.00%",(P100-L100)/L100)</f>
        <v>-0.99112180058198229</v>
      </c>
      <c r="P100" s="3">
        <f>P11-P98</f>
        <v>-299</v>
      </c>
      <c r="Q100" s="1335"/>
      <c r="S100" s="83">
        <f>IF(P100=0,"0.00%",(T100-P100)/P100)</f>
        <v>-1</v>
      </c>
      <c r="T100" s="3">
        <f>T11-T98</f>
        <v>0</v>
      </c>
      <c r="U100" s="73"/>
      <c r="W100" s="83" t="str">
        <f>IF(T100=0,"0.00%",(X100-T100)/T100)</f>
        <v>0.00%</v>
      </c>
      <c r="X100" s="3">
        <f>X11-X98</f>
        <v>0</v>
      </c>
      <c r="Y100" s="73"/>
      <c r="AA100" s="83" t="str">
        <f>IF(X100=0,"0.00%",(AB100-X100)/X100)</f>
        <v>0.00%</v>
      </c>
      <c r="AB100" s="3">
        <f>AB11-AB98</f>
        <v>0</v>
      </c>
      <c r="AC100" s="73"/>
    </row>
    <row r="101" spans="1:29" x14ac:dyDescent="0.25">
      <c r="B101" s="1323"/>
      <c r="C101" s="1317"/>
      <c r="D101" s="3"/>
      <c r="H101" s="3"/>
      <c r="I101" s="1257"/>
      <c r="J101" s="66"/>
      <c r="K101" s="1399"/>
      <c r="L101" s="3"/>
      <c r="M101" s="1335"/>
      <c r="O101" s="1399"/>
      <c r="P101" s="3"/>
      <c r="Q101" s="1335"/>
      <c r="S101" s="46"/>
      <c r="T101" s="44"/>
      <c r="U101" s="73"/>
      <c r="W101" s="46"/>
      <c r="X101" s="44"/>
      <c r="Y101" s="73"/>
      <c r="AA101" s="46"/>
      <c r="AB101" s="44"/>
      <c r="AC101" s="73"/>
    </row>
    <row r="102" spans="1:29" x14ac:dyDescent="0.25">
      <c r="B102" s="1323" t="s">
        <v>136</v>
      </c>
      <c r="C102" s="1319"/>
      <c r="D102" s="3">
        <f>D7+D100</f>
        <v>620652.06000000006</v>
      </c>
      <c r="G102" s="1527">
        <f>IF(D102=0,"0.00%",(H102-D102)/D102)</f>
        <v>-0.71901799536442357</v>
      </c>
      <c r="H102" s="3">
        <f>H7+H100</f>
        <v>174392.06000000006</v>
      </c>
      <c r="I102" s="1882">
        <f>+H102-D102</f>
        <v>-446260</v>
      </c>
      <c r="J102" s="66"/>
      <c r="K102" s="1527">
        <f>IF(H102=0,"0.00%",(L102-H102)/H102)</f>
        <v>-0.19311659028513103</v>
      </c>
      <c r="L102" s="3">
        <f>L7+L100</f>
        <v>140714.06000000006</v>
      </c>
      <c r="M102" s="1882">
        <f>+L102-H102</f>
        <v>-33678</v>
      </c>
      <c r="O102" s="1527">
        <f>IF(L102=0,"0.00%",(P102-L102)/L102)</f>
        <v>-2.1248765048780477E-3</v>
      </c>
      <c r="P102" s="3">
        <f>P7+P100</f>
        <v>140415.06000000006</v>
      </c>
      <c r="Q102" s="1882">
        <f>+P102-L102</f>
        <v>-299</v>
      </c>
      <c r="S102" s="83">
        <f>IF(P102=0,"0.00%",(T102-P102)/P102)</f>
        <v>0</v>
      </c>
      <c r="T102" s="49">
        <f>T7+T100</f>
        <v>140415.06000000006</v>
      </c>
      <c r="U102" s="73"/>
      <c r="W102" s="83">
        <f>IF(T102=0,"0.00%",(X102-T102)/T102)</f>
        <v>0</v>
      </c>
      <c r="X102" s="49">
        <f>X7+X100</f>
        <v>140415.06000000006</v>
      </c>
      <c r="Y102" s="73"/>
      <c r="AA102" s="83">
        <f>IF(X102=0,"0.00%",(AB102-X102)/X102)</f>
        <v>0</v>
      </c>
      <c r="AB102" s="49">
        <f>AB7+AB100</f>
        <v>140415.06000000006</v>
      </c>
      <c r="AC102" s="73"/>
    </row>
    <row r="103" spans="1:29" x14ac:dyDescent="0.25">
      <c r="C103" s="1259"/>
      <c r="G103" s="1540"/>
      <c r="H103" s="2"/>
      <c r="I103" s="1882"/>
      <c r="J103" s="29"/>
      <c r="K103" s="1540"/>
      <c r="L103" s="2"/>
      <c r="M103" s="1335"/>
      <c r="O103" s="1540"/>
      <c r="Q103" s="1335"/>
      <c r="S103" s="85"/>
      <c r="U103" s="73"/>
      <c r="W103" s="85"/>
      <c r="Y103" s="73"/>
      <c r="AA103" s="85"/>
      <c r="AC103" s="73"/>
    </row>
    <row r="104" spans="1:29" x14ac:dyDescent="0.25">
      <c r="C104" s="1254"/>
      <c r="G104" s="1540"/>
      <c r="H104" s="2"/>
      <c r="I104" s="1257"/>
      <c r="J104" s="66"/>
      <c r="K104" s="1540"/>
      <c r="L104" s="2"/>
      <c r="M104" s="1335"/>
      <c r="O104" s="1540"/>
      <c r="Q104" s="1335"/>
      <c r="S104" s="85"/>
      <c r="U104" s="73"/>
      <c r="W104" s="85"/>
      <c r="Y104" s="73"/>
      <c r="AA104" s="85"/>
      <c r="AC104" s="73"/>
    </row>
    <row r="105" spans="1:29" x14ac:dyDescent="0.25">
      <c r="C105" s="1254"/>
      <c r="G105" s="1540"/>
      <c r="H105" s="2"/>
      <c r="I105" s="1257"/>
      <c r="J105" s="66"/>
      <c r="K105" s="1540"/>
      <c r="L105" s="2"/>
      <c r="M105" s="1335"/>
      <c r="O105" s="1540"/>
      <c r="Q105" s="1335"/>
      <c r="S105" s="85"/>
      <c r="U105" s="73"/>
      <c r="W105" s="85"/>
      <c r="Y105" s="73"/>
      <c r="AA105" s="85"/>
      <c r="AC105" s="73"/>
    </row>
    <row r="106" spans="1:29" x14ac:dyDescent="0.25">
      <c r="C106" s="1254"/>
      <c r="G106" s="1540"/>
      <c r="H106" s="2"/>
      <c r="I106" s="1257"/>
      <c r="J106" s="66"/>
      <c r="K106" s="1540"/>
      <c r="L106" s="2"/>
      <c r="M106" s="1335"/>
      <c r="O106" s="1540"/>
      <c r="Q106" s="1335"/>
      <c r="S106" s="85"/>
      <c r="U106" s="73"/>
      <c r="W106" s="85"/>
      <c r="Y106" s="73"/>
      <c r="AA106" s="85"/>
      <c r="AC106" s="73"/>
    </row>
    <row r="107" spans="1:29" x14ac:dyDescent="0.25">
      <c r="C107" s="1254"/>
      <c r="G107" s="1540"/>
      <c r="H107" s="2"/>
      <c r="I107" s="1257"/>
      <c r="J107" s="66"/>
      <c r="K107" s="1540"/>
      <c r="L107" s="2"/>
      <c r="M107" s="1335"/>
      <c r="O107" s="1540"/>
      <c r="Q107" s="1335"/>
      <c r="S107" s="85"/>
      <c r="U107" s="73"/>
      <c r="W107" s="85"/>
      <c r="Y107" s="73"/>
      <c r="AA107" s="85"/>
      <c r="AC107" s="73"/>
    </row>
    <row r="108" spans="1:29" s="138" customFormat="1" ht="11.25" x14ac:dyDescent="0.2">
      <c r="A108" s="157"/>
      <c r="B108" s="1329"/>
      <c r="C108" s="1330" t="s">
        <v>273</v>
      </c>
      <c r="D108" s="135">
        <f>+D89+D69+D53+D41+D30+D95</f>
        <v>2687099</v>
      </c>
      <c r="E108" s="1251"/>
      <c r="G108" s="1541" t="s">
        <v>273</v>
      </c>
      <c r="H108" s="135">
        <f>+H89+H69+H53+H41+H30+H95</f>
        <v>3055058</v>
      </c>
      <c r="I108" s="1260"/>
      <c r="J108" s="136"/>
      <c r="K108" s="1541" t="s">
        <v>273</v>
      </c>
      <c r="L108" s="135">
        <f>+L89+L69+L53+L41+L30+L95</f>
        <v>2444483</v>
      </c>
      <c r="M108" s="1338"/>
      <c r="O108" s="1541" t="s">
        <v>273</v>
      </c>
      <c r="P108" s="135">
        <f>+P89+P69+P53+P41+P30+P95</f>
        <v>2480354</v>
      </c>
      <c r="Q108" s="1338"/>
      <c r="R108" s="140"/>
      <c r="S108" s="158" t="s">
        <v>273</v>
      </c>
      <c r="T108" s="135">
        <f>+T89+T69+T53+T41+T30+T95</f>
        <v>2425647</v>
      </c>
      <c r="U108" s="139"/>
      <c r="W108" s="158" t="s">
        <v>273</v>
      </c>
      <c r="X108" s="135">
        <f>+X89+X69+X53+X41+X30+X95</f>
        <v>2499126</v>
      </c>
      <c r="Y108" s="139"/>
      <c r="AA108" s="158" t="s">
        <v>273</v>
      </c>
      <c r="AB108" s="135">
        <f>+AB89+AB69+AB53+AB41+AB30+AB95</f>
        <v>2571462</v>
      </c>
      <c r="AC108" s="139"/>
    </row>
    <row r="109" spans="1:29" s="138" customFormat="1" ht="11.25" x14ac:dyDescent="0.2">
      <c r="A109" s="159"/>
      <c r="B109" s="1329"/>
      <c r="C109" s="1331" t="s">
        <v>227</v>
      </c>
      <c r="D109" s="143">
        <f>+D13</f>
        <v>0</v>
      </c>
      <c r="E109" s="1252"/>
      <c r="F109" s="145"/>
      <c r="G109" s="1546" t="s">
        <v>227</v>
      </c>
      <c r="H109" s="143">
        <f>+H13</f>
        <v>0</v>
      </c>
      <c r="I109" s="1261"/>
      <c r="J109" s="144"/>
      <c r="K109" s="1546" t="s">
        <v>227</v>
      </c>
      <c r="L109" s="143">
        <f>+L13</f>
        <v>0</v>
      </c>
      <c r="M109" s="1338"/>
      <c r="O109" s="1546" t="s">
        <v>227</v>
      </c>
      <c r="P109" s="143">
        <f>+P13</f>
        <v>0</v>
      </c>
      <c r="Q109" s="1251"/>
      <c r="R109" s="140"/>
      <c r="S109" s="142" t="s">
        <v>227</v>
      </c>
      <c r="T109" s="143">
        <f>+T13</f>
        <v>0</v>
      </c>
      <c r="W109" s="142" t="s">
        <v>227</v>
      </c>
      <c r="X109" s="143">
        <f>+X13</f>
        <v>0</v>
      </c>
      <c r="AA109" s="142" t="s">
        <v>227</v>
      </c>
      <c r="AB109" s="143">
        <f>+AB13</f>
        <v>0</v>
      </c>
    </row>
    <row r="110" spans="1:29" s="138" customFormat="1" ht="11.25" x14ac:dyDescent="0.2">
      <c r="A110" s="159"/>
      <c r="B110" s="1329"/>
      <c r="C110" s="1331"/>
      <c r="D110" s="146">
        <f>+D108+D109</f>
        <v>2687099</v>
      </c>
      <c r="E110" s="1252"/>
      <c r="F110" s="145"/>
      <c r="G110" s="1546"/>
      <c r="H110" s="146">
        <f>+H108+H109</f>
        <v>3055058</v>
      </c>
      <c r="I110" s="1261"/>
      <c r="J110" s="144"/>
      <c r="K110" s="1546"/>
      <c r="L110" s="146">
        <f>+L108+L109</f>
        <v>2444483</v>
      </c>
      <c r="M110" s="1251"/>
      <c r="O110" s="1546"/>
      <c r="P110" s="146">
        <f>+P108+P109</f>
        <v>2480354</v>
      </c>
      <c r="Q110" s="1251"/>
      <c r="R110" s="140"/>
      <c r="S110" s="142"/>
      <c r="T110" s="146">
        <f>+T108+T109</f>
        <v>2425647</v>
      </c>
      <c r="W110" s="142"/>
      <c r="X110" s="146">
        <f>+X108+X109</f>
        <v>2499126</v>
      </c>
      <c r="AA110" s="142"/>
      <c r="AB110" s="146">
        <f>+AB108+AB109</f>
        <v>2571462</v>
      </c>
    </row>
    <row r="111" spans="1:29" ht="15" customHeight="1" x14ac:dyDescent="0.25">
      <c r="A111" s="153"/>
      <c r="B111" s="1332"/>
      <c r="C111" s="1332"/>
      <c r="D111" s="5">
        <f>+D98-D110</f>
        <v>0</v>
      </c>
      <c r="E111" s="1249"/>
      <c r="F111" s="2"/>
      <c r="G111" s="1543"/>
      <c r="H111" s="5">
        <f>+H98-H110</f>
        <v>0</v>
      </c>
      <c r="K111" s="1543"/>
      <c r="L111" s="5">
        <f>+L98-L110</f>
        <v>0</v>
      </c>
      <c r="O111" s="1543"/>
      <c r="P111" s="5">
        <f>+P98-P110</f>
        <v>0</v>
      </c>
      <c r="S111" s="103"/>
      <c r="T111" s="5">
        <f>+T98-T110</f>
        <v>0</v>
      </c>
      <c r="W111" s="103"/>
      <c r="X111" s="5">
        <f>+X98-X110</f>
        <v>0</v>
      </c>
      <c r="AA111" s="103"/>
      <c r="AB111" s="5">
        <f>+AB98-AB110</f>
        <v>0</v>
      </c>
    </row>
    <row r="112" spans="1:29" x14ac:dyDescent="0.25">
      <c r="A112" s="153"/>
      <c r="B112" s="1332"/>
      <c r="C112" s="1332"/>
      <c r="D112" s="36"/>
      <c r="E112" s="1249"/>
      <c r="F112" s="2"/>
    </row>
    <row r="113" spans="1:6" x14ac:dyDescent="0.25">
      <c r="A113" s="153"/>
      <c r="B113" s="1319"/>
      <c r="C113" s="1254"/>
      <c r="D113" s="25"/>
      <c r="E113" s="1249"/>
      <c r="F113" s="2"/>
    </row>
    <row r="114" spans="1:6" x14ac:dyDescent="0.25">
      <c r="B114" s="1319"/>
      <c r="C114" s="1254"/>
      <c r="D114" s="36"/>
    </row>
    <row r="115" spans="1:6" x14ac:dyDescent="0.25">
      <c r="B115" s="1319"/>
      <c r="C115" s="1254"/>
      <c r="D115" s="36"/>
    </row>
    <row r="116" spans="1:6" ht="15" customHeight="1" x14ac:dyDescent="0.25">
      <c r="B116" s="1319"/>
      <c r="C116" s="1254"/>
      <c r="D116" s="36"/>
    </row>
    <row r="117" spans="1:6" x14ac:dyDescent="0.25">
      <c r="B117" s="1319"/>
      <c r="C117" s="1254"/>
      <c r="D117" s="36"/>
    </row>
    <row r="118" spans="1:6" x14ac:dyDescent="0.25">
      <c r="B118" s="1319"/>
      <c r="C118" s="1254"/>
      <c r="D118" s="36"/>
    </row>
    <row r="119" spans="1:6" ht="15" customHeight="1" x14ac:dyDescent="0.25">
      <c r="B119" s="2151"/>
      <c r="C119" s="2151"/>
      <c r="D119" s="36"/>
    </row>
    <row r="120" spans="1:6" x14ac:dyDescent="0.25">
      <c r="B120" s="2151"/>
      <c r="C120" s="2151"/>
      <c r="D120" s="36"/>
    </row>
    <row r="121" spans="1:6" x14ac:dyDescent="0.25">
      <c r="B121" s="1319"/>
      <c r="C121" s="1254"/>
      <c r="D121" s="6"/>
    </row>
    <row r="122" spans="1:6" x14ac:dyDescent="0.25">
      <c r="B122" s="1319"/>
      <c r="C122" s="1254"/>
      <c r="D122" s="36"/>
    </row>
    <row r="123" spans="1:6" x14ac:dyDescent="0.25">
      <c r="B123" s="1319"/>
      <c r="C123" s="1254"/>
      <c r="D123" s="36"/>
    </row>
    <row r="124" spans="1:6" ht="28.5" customHeight="1" x14ac:dyDescent="0.25">
      <c r="B124" s="1319"/>
      <c r="C124" s="1254"/>
      <c r="D124" s="25"/>
    </row>
    <row r="125" spans="1:6" x14ac:dyDescent="0.25">
      <c r="B125" s="1319"/>
      <c r="C125" s="1254"/>
      <c r="D125" s="36"/>
    </row>
    <row r="126" spans="1:6" x14ac:dyDescent="0.25">
      <c r="B126" s="1319"/>
      <c r="C126" s="1254"/>
      <c r="D126" s="36"/>
    </row>
    <row r="127" spans="1:6" x14ac:dyDescent="0.25">
      <c r="B127" s="1319"/>
      <c r="C127" s="1254"/>
      <c r="D127" s="36"/>
    </row>
    <row r="128" spans="1:6" x14ac:dyDescent="0.25">
      <c r="B128" s="1319"/>
      <c r="C128" s="1254"/>
      <c r="D128" s="36"/>
    </row>
    <row r="129" spans="2:4" x14ac:dyDescent="0.25">
      <c r="B129" s="1319"/>
      <c r="C129" s="1254"/>
      <c r="D129" s="36"/>
    </row>
    <row r="130" spans="2:4" x14ac:dyDescent="0.25">
      <c r="B130" s="1319"/>
      <c r="C130" s="1254"/>
      <c r="D130" s="36"/>
    </row>
    <row r="131" spans="2:4" x14ac:dyDescent="0.25">
      <c r="B131" s="1319"/>
      <c r="C131" s="1254"/>
      <c r="D131" s="36"/>
    </row>
    <row r="132" spans="2:4" x14ac:dyDescent="0.25">
      <c r="B132" s="1319"/>
      <c r="C132" s="1254"/>
      <c r="D132" s="36"/>
    </row>
    <row r="133" spans="2:4" x14ac:dyDescent="0.25">
      <c r="B133" s="1319"/>
      <c r="C133" s="1254"/>
      <c r="D133" s="36"/>
    </row>
    <row r="134" spans="2:4" x14ac:dyDescent="0.25">
      <c r="B134" s="1319"/>
      <c r="C134" s="1254"/>
      <c r="D134" s="36"/>
    </row>
    <row r="135" spans="2:4" x14ac:dyDescent="0.25">
      <c r="B135" s="1319"/>
      <c r="C135" s="1254"/>
      <c r="D135" s="36"/>
    </row>
    <row r="136" spans="2:4" x14ac:dyDescent="0.25">
      <c r="B136" s="1319"/>
      <c r="C136" s="1254"/>
      <c r="D136" s="36"/>
    </row>
    <row r="137" spans="2:4" x14ac:dyDescent="0.25">
      <c r="B137" s="1319"/>
      <c r="C137" s="1254"/>
      <c r="D137" s="36"/>
    </row>
    <row r="138" spans="2:4" x14ac:dyDescent="0.25">
      <c r="B138" s="1319"/>
      <c r="C138" s="1254"/>
      <c r="D138" s="36"/>
    </row>
    <row r="139" spans="2:4" x14ac:dyDescent="0.25">
      <c r="B139" s="1319"/>
      <c r="C139" s="1254"/>
      <c r="D139" s="36"/>
    </row>
  </sheetData>
  <mergeCells count="1">
    <mergeCell ref="B119:C120"/>
  </mergeCells>
  <pageMargins left="0.25" right="0.25" top="0.5" bottom="0.5" header="0.25" footer="0.25"/>
  <pageSetup paperSize="5" scale="61" orientation="portrait" r:id="rId1"/>
  <headerFooter>
    <oddHeader>&amp;L&amp;F</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40"/>
  <sheetViews>
    <sheetView zoomScaleNormal="100" workbookViewId="0">
      <pane xSplit="3" ySplit="6" topLeftCell="D7"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customWidth="1"/>
    <col min="6" max="6" width="6" style="39" customWidth="1"/>
    <col min="7" max="7" width="9.42578125" style="1399" bestFit="1" customWidth="1"/>
    <col min="8" max="8" width="13.85546875" style="123" bestFit="1" customWidth="1"/>
    <col min="9" max="9" width="26" style="1254" customWidth="1"/>
    <col min="10" max="10" width="5.7109375" style="59" customWidth="1"/>
    <col min="11" max="11" width="9.85546875" style="1550" customWidth="1"/>
    <col min="12" max="12" width="14" style="124" bestFit="1" customWidth="1"/>
    <col min="13" max="13" width="26" style="1243" customWidth="1"/>
    <col min="14" max="14" width="5.7109375" style="39" customWidth="1"/>
    <col min="15" max="15" width="9.42578125" style="1550" bestFit="1" customWidth="1"/>
    <col min="16" max="16" width="14" style="2" bestFit="1" customWidth="1"/>
    <col min="17" max="17" width="24.85546875" style="1243" customWidth="1"/>
    <col min="18" max="18" width="5.7109375" style="109" customWidth="1"/>
    <col min="19" max="19" width="11.8554687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348</v>
      </c>
      <c r="D1" s="1490"/>
      <c r="E1" s="1491"/>
      <c r="F1" s="43"/>
      <c r="G1" s="1547"/>
      <c r="H1" s="1492"/>
      <c r="I1" s="1491"/>
      <c r="K1" s="1548"/>
      <c r="L1" s="1493"/>
      <c r="M1" s="1491"/>
      <c r="N1" s="51"/>
      <c r="O1" s="1548"/>
      <c r="P1" s="1493"/>
      <c r="Q1" s="1241"/>
      <c r="T1" s="86">
        <v>0</v>
      </c>
      <c r="U1" s="98"/>
      <c r="X1" s="86">
        <v>0</v>
      </c>
      <c r="Y1" s="98"/>
      <c r="AB1" s="86">
        <v>0</v>
      </c>
      <c r="AC1" s="98"/>
    </row>
    <row r="2" spans="1:29" ht="17.25" x14ac:dyDescent="0.4">
      <c r="B2" s="1319" t="s">
        <v>59</v>
      </c>
      <c r="C2" s="1320">
        <v>9225</v>
      </c>
      <c r="D2" s="1492"/>
      <c r="E2" s="1491"/>
      <c r="F2" s="43"/>
      <c r="G2" s="1548"/>
      <c r="H2" s="1492"/>
      <c r="I2" s="1491"/>
      <c r="K2" s="1548"/>
      <c r="L2" s="1494"/>
      <c r="M2" s="1491"/>
      <c r="N2" s="51"/>
      <c r="O2" s="1548"/>
      <c r="P2" s="1494"/>
      <c r="Q2" s="1241"/>
      <c r="T2" s="87">
        <v>0</v>
      </c>
      <c r="U2" s="98"/>
      <c r="X2" s="87">
        <v>0</v>
      </c>
      <c r="Y2" s="98"/>
      <c r="AB2" s="87">
        <v>0</v>
      </c>
      <c r="AC2" s="98"/>
    </row>
    <row r="3" spans="1:29" x14ac:dyDescent="0.25">
      <c r="D3" s="6"/>
      <c r="E3" s="1254"/>
      <c r="F3" s="51"/>
      <c r="G3" s="1549"/>
      <c r="H3" s="6"/>
      <c r="K3" s="1548"/>
      <c r="L3" s="1493"/>
      <c r="M3" s="1254"/>
      <c r="N3" s="51"/>
      <c r="O3" s="1548"/>
      <c r="P3" s="1493"/>
      <c r="Q3" s="1254"/>
      <c r="T3" s="86">
        <f>SUM(T1:T2)</f>
        <v>0</v>
      </c>
      <c r="U3" s="51"/>
      <c r="X3" s="86">
        <f>SUM(X1:X2)</f>
        <v>0</v>
      </c>
      <c r="Y3" s="51"/>
      <c r="AB3" s="86">
        <f>SUM(AB1:AB2)</f>
        <v>0</v>
      </c>
      <c r="AC3" s="51"/>
    </row>
    <row r="4" spans="1:29" x14ac:dyDescent="0.25">
      <c r="D4" s="1492"/>
      <c r="E4" s="1254"/>
      <c r="F4" s="51"/>
      <c r="G4" s="1549"/>
      <c r="H4" s="1493"/>
      <c r="K4" s="1548"/>
      <c r="L4" s="1493"/>
      <c r="M4" s="1254"/>
      <c r="N4" s="51"/>
      <c r="O4" s="1548"/>
      <c r="P4" s="149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3258094.43</v>
      </c>
      <c r="E7" s="1315"/>
      <c r="H7" s="2">
        <f>D103</f>
        <v>3646048.43</v>
      </c>
      <c r="I7" s="1315"/>
      <c r="J7" s="60"/>
      <c r="L7" s="2">
        <f>H103</f>
        <v>646219.43000000017</v>
      </c>
      <c r="M7" s="1315"/>
      <c r="P7" s="2">
        <f>L103</f>
        <v>346219.43000000017</v>
      </c>
      <c r="Q7" s="1315"/>
      <c r="T7" s="2">
        <f>P103</f>
        <v>146219.43000000017</v>
      </c>
      <c r="U7" s="105"/>
      <c r="X7" s="2">
        <f>T103</f>
        <v>94854.430000000168</v>
      </c>
      <c r="Y7" s="105"/>
      <c r="AB7" s="2">
        <f>X103</f>
        <v>42087.430000000168</v>
      </c>
      <c r="AC7" s="105"/>
    </row>
    <row r="8" spans="1:29" x14ac:dyDescent="0.25">
      <c r="E8" s="1315"/>
      <c r="H8" s="2"/>
      <c r="I8" s="1315"/>
      <c r="L8" s="2"/>
      <c r="M8" s="1315"/>
      <c r="Q8" s="1315"/>
      <c r="U8" s="105"/>
      <c r="Y8" s="105"/>
      <c r="AC8" s="105"/>
    </row>
    <row r="9" spans="1:29" x14ac:dyDescent="0.25">
      <c r="B9" s="1317" t="s">
        <v>52</v>
      </c>
      <c r="C9" s="1243" t="s">
        <v>246</v>
      </c>
      <c r="D9" s="2">
        <v>1961318</v>
      </c>
      <c r="E9" s="1315" t="s">
        <v>486</v>
      </c>
      <c r="G9" s="1527">
        <f>IF(D9=0,"0.00%",(H9-D9)/D9)</f>
        <v>-0.84704163220854545</v>
      </c>
      <c r="H9" s="3">
        <v>300000</v>
      </c>
      <c r="I9" s="1315" t="s">
        <v>487</v>
      </c>
      <c r="J9" s="61"/>
      <c r="K9" s="1527">
        <f>IF(H9=0,"0.00%",(L9-H9)/H9)</f>
        <v>-1</v>
      </c>
      <c r="L9" s="3">
        <v>0</v>
      </c>
      <c r="M9" s="1315"/>
      <c r="O9" s="1527" t="str">
        <f>IF(L9=0,"0.00%",(P9-L9)/L9)</f>
        <v>0.00%</v>
      </c>
      <c r="P9" s="3">
        <f>+L9</f>
        <v>0</v>
      </c>
      <c r="Q9" s="1315"/>
      <c r="S9" s="83" t="str">
        <f>IF(P9=0,"0.00%",(T9-P9)/P9)</f>
        <v>0.00%</v>
      </c>
      <c r="T9" s="3">
        <f>+P9</f>
        <v>0</v>
      </c>
      <c r="U9" s="105"/>
      <c r="W9" s="83" t="str">
        <f>IF(T9=0,"0.00%",(X9-T9)/T9)</f>
        <v>0.00%</v>
      </c>
      <c r="X9" s="3">
        <f>+T9</f>
        <v>0</v>
      </c>
      <c r="Y9" s="105"/>
      <c r="AA9" s="83" t="str">
        <f>IF(X9=0,"0.00%",(AB9-X9)/X9)</f>
        <v>0.00%</v>
      </c>
      <c r="AB9" s="3">
        <f>+X9</f>
        <v>0</v>
      </c>
      <c r="AC9" s="105"/>
    </row>
    <row r="10" spans="1:29" x14ac:dyDescent="0.25">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1961318</v>
      </c>
      <c r="E11" s="1315"/>
      <c r="G11" s="1527">
        <f t="shared" si="0"/>
        <v>-0.84704163220854545</v>
      </c>
      <c r="H11" s="8">
        <f>SUM(H9:H10)</f>
        <v>300000</v>
      </c>
      <c r="I11" s="1882">
        <f>+H11-D11</f>
        <v>-1661318</v>
      </c>
      <c r="J11" s="62"/>
      <c r="K11" s="1527">
        <f>IF(H11=0,"0.00%",(L11-H11)/H11)</f>
        <v>-1</v>
      </c>
      <c r="L11" s="8">
        <f>SUM(L9:L10)</f>
        <v>0</v>
      </c>
      <c r="M11" s="1882">
        <f>+L11-H11</f>
        <v>-300000</v>
      </c>
      <c r="O11" s="1527" t="str">
        <f>IF(L11=0,"0.00%",(P11-L11)/L11)</f>
        <v>0.00%</v>
      </c>
      <c r="P11" s="8">
        <f>SUM(P9:P10)</f>
        <v>0</v>
      </c>
      <c r="Q11" s="1882">
        <f>+P11-L11</f>
        <v>0</v>
      </c>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ROUND(D11-(D11/(1+B13)),0)</f>
        <v>0</v>
      </c>
      <c r="E13" s="1315"/>
      <c r="G13" s="1527" t="str">
        <f t="shared" si="0"/>
        <v>0.00%</v>
      </c>
      <c r="H13" s="9">
        <f>ROUND(H11-(H11/(1+B13)),0)</f>
        <v>0</v>
      </c>
      <c r="I13" s="1315"/>
      <c r="J13" s="64"/>
      <c r="K13" s="1527" t="str">
        <f>IF(H13=0,"0.00%",(L13-H13)/H13)</f>
        <v>0.00%</v>
      </c>
      <c r="L13" s="9">
        <f>ROUND(L11-(L11/(1+B13)),0)</f>
        <v>0</v>
      </c>
      <c r="M13" s="1315"/>
      <c r="O13" s="1527" t="str">
        <f>IF(L13=0,"0.00%",(P13-L13)/L13)</f>
        <v>0.00%</v>
      </c>
      <c r="P13" s="9">
        <f>ROUND(P11-(P11/(1+B13)),0)</f>
        <v>0</v>
      </c>
      <c r="Q13" s="131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+D7+D11</f>
        <v>5219412.43</v>
      </c>
      <c r="E15" s="1315"/>
      <c r="G15" s="1527">
        <f t="shared" si="0"/>
        <v>-0.24396692483640339</v>
      </c>
      <c r="H15" s="10">
        <f>+H7+H11</f>
        <v>3946048.43</v>
      </c>
      <c r="I15" s="1882">
        <f>+H15-D15</f>
        <v>-1273363.9999999995</v>
      </c>
      <c r="J15" s="62"/>
      <c r="K15" s="1527">
        <f>IF(H15=0,"0.00%",(L15-H15)/H15)</f>
        <v>-0.83623631552844369</v>
      </c>
      <c r="L15" s="10">
        <f>+L7+L11</f>
        <v>646219.43000000017</v>
      </c>
      <c r="M15" s="1882">
        <f>+L15-H15</f>
        <v>-3299829</v>
      </c>
      <c r="O15" s="1527">
        <f>IF(L15=0,"0.00%",(P15-L15)/L15)</f>
        <v>-0.46423859462102512</v>
      </c>
      <c r="P15" s="10">
        <f>+P7+P11</f>
        <v>346219.43000000017</v>
      </c>
      <c r="Q15" s="1882">
        <f>+P15-L15</f>
        <v>-300000</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04">
        <v>0.02</v>
      </c>
      <c r="J19" s="29"/>
      <c r="L19" s="14" t="s">
        <v>48</v>
      </c>
      <c r="M19" s="104">
        <v>0.02</v>
      </c>
      <c r="P19" s="14" t="s">
        <v>48</v>
      </c>
      <c r="Q19" s="104">
        <v>0.02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t="str">
        <f t="shared" ref="I21:I28" si="3">TEXT($I$19,"0.0%")&amp;" = Est. S &amp; C"</f>
        <v>2.0% = Est. S &amp; C</v>
      </c>
      <c r="J21" s="66"/>
      <c r="K21" s="1527" t="str">
        <f t="shared" ref="K21:K27" si="4">IF(H21=0,"0.00%",(L21-H21)/H21)</f>
        <v>0.00%</v>
      </c>
      <c r="L21" s="2">
        <f>ROUND(H21*(1+M19),0)</f>
        <v>0</v>
      </c>
      <c r="M21" s="1257" t="str">
        <f>TEXT(M19,"0.0%")&amp;" = Est. S &amp; C"</f>
        <v>2.0% = Est. S &amp; C</v>
      </c>
      <c r="O21" s="1527" t="str">
        <f t="shared" ref="O21:O27" si="5">IF(L21=0,"0.00%",(P21-L21)/L21)</f>
        <v>0.00%</v>
      </c>
      <c r="P21" s="2">
        <f>ROUND(L21*(1+Q19),0)</f>
        <v>0</v>
      </c>
      <c r="Q21" s="125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2.0% = Est. S &amp; C</v>
      </c>
      <c r="J22" s="66"/>
      <c r="K22" s="1527" t="str">
        <f t="shared" si="4"/>
        <v>0.00%</v>
      </c>
      <c r="L22" s="2">
        <f>ROUND(H22*(1+M19),0)</f>
        <v>0</v>
      </c>
      <c r="M22" s="1257" t="str">
        <f>TEXT(M19,"0.0%")&amp;" = Est. S &amp; C"</f>
        <v>2.0% = Est. S &amp; C</v>
      </c>
      <c r="O22" s="1527" t="str">
        <f t="shared" si="5"/>
        <v>0.00%</v>
      </c>
      <c r="P22" s="2">
        <f>ROUND(L22*(1+Q19),0)</f>
        <v>0</v>
      </c>
      <c r="Q22" s="125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2.0% = Est. S &amp; C</v>
      </c>
      <c r="J23" s="66"/>
      <c r="K23" s="1527" t="str">
        <f t="shared" si="4"/>
        <v>0.00%</v>
      </c>
      <c r="L23" s="2">
        <f>ROUND(H23*(1+M19),0)</f>
        <v>0</v>
      </c>
      <c r="M23" s="1257" t="str">
        <f>TEXT(M19,"0.0%")&amp;" = Est. S &amp; C"</f>
        <v>2.0% = Est. S &amp; C</v>
      </c>
      <c r="O23" s="1527" t="str">
        <f t="shared" si="5"/>
        <v>0.00%</v>
      </c>
      <c r="P23" s="2">
        <f>ROUND(L23*(1+Q19),0)</f>
        <v>0</v>
      </c>
      <c r="Q23" s="125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2.0% = Est. S &amp; C</v>
      </c>
      <c r="J24" s="66"/>
      <c r="K24" s="1527" t="str">
        <f t="shared" si="4"/>
        <v>0.00%</v>
      </c>
      <c r="L24" s="2">
        <f>ROUND(H24*(1+M19),0)</f>
        <v>0</v>
      </c>
      <c r="M24" s="1257" t="str">
        <f>TEXT(M19,"0.0%")&amp;" = Est. S &amp; C"</f>
        <v>2.0% = Est. S &amp; C</v>
      </c>
      <c r="O24" s="1527" t="str">
        <f t="shared" si="5"/>
        <v>0.00%</v>
      </c>
      <c r="P24" s="2">
        <f>ROUND(L24*(1+Q19),0)</f>
        <v>0</v>
      </c>
      <c r="Q24" s="125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t="str">
        <f t="shared" si="3"/>
        <v>2.0% = Est. S &amp; C</v>
      </c>
      <c r="J25" s="66"/>
      <c r="K25" s="1527" t="str">
        <f t="shared" si="4"/>
        <v>0.00%</v>
      </c>
      <c r="L25" s="2">
        <f>ROUND(H25*(1+M19),0)</f>
        <v>0</v>
      </c>
      <c r="M25" s="1257" t="str">
        <f>TEXT(M19,"0.0%")&amp;" = Est. S &amp; C"</f>
        <v>2.0% = Est. S &amp; C</v>
      </c>
      <c r="O25" s="1527" t="str">
        <f t="shared" si="5"/>
        <v>0.00%</v>
      </c>
      <c r="P25" s="2">
        <f>ROUND(L25*(1+Q19),0)</f>
        <v>0</v>
      </c>
      <c r="Q25" s="125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2.0% = Est. S &amp; C</v>
      </c>
      <c r="J26" s="66"/>
      <c r="K26" s="1527" t="str">
        <f t="shared" si="4"/>
        <v>0.00%</v>
      </c>
      <c r="L26" s="2">
        <f>ROUND(H26*(1+M19),0)</f>
        <v>0</v>
      </c>
      <c r="M26" s="1257" t="str">
        <f>TEXT(M19,"0.0%")&amp;" = Est. S &amp; C"</f>
        <v>2.0% = Est. S &amp; C</v>
      </c>
      <c r="O26" s="1527" t="str">
        <f t="shared" si="5"/>
        <v>0.00%</v>
      </c>
      <c r="P26" s="2">
        <f>ROUND(L26*(1+Q19),0)</f>
        <v>0</v>
      </c>
      <c r="Q26" s="125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2.0% = Est. S &amp; C</v>
      </c>
      <c r="J27" s="66"/>
      <c r="K27" s="1527" t="str">
        <f t="shared" si="4"/>
        <v>0.00%</v>
      </c>
      <c r="L27" s="2">
        <f>ROUND(H27*(1+M19),0)</f>
        <v>0</v>
      </c>
      <c r="M27" s="1257" t="str">
        <f>TEXT(M19,"0.0%")&amp;" = Est. S &amp; C"</f>
        <v>2.0% = Est. S &amp; C</v>
      </c>
      <c r="O27" s="1527" t="str">
        <f t="shared" si="5"/>
        <v>0.00%</v>
      </c>
      <c r="P27" s="2">
        <f>ROUND(L27*(1+Q19),0)</f>
        <v>0</v>
      </c>
      <c r="Q27" s="125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2.0%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hidden="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c r="D33" s="2">
        <v>0</v>
      </c>
      <c r="E33" s="1249"/>
      <c r="F33" s="2"/>
      <c r="G33" s="1527" t="str">
        <f t="shared" ref="G33:G39" si="9">IF(D33=0,"0.00%",(H33-D33)/D33)</f>
        <v>0.00%</v>
      </c>
      <c r="H33" s="2">
        <f t="shared" ref="H33:H39" si="10">ROUND(D33*(1+$I$19),0)</f>
        <v>0</v>
      </c>
      <c r="I33" s="1257" t="str">
        <f t="shared" ref="I33:I39" si="11">TEXT($I$19,"0.0%")&amp;" = Est. S &amp; C"</f>
        <v>2.0% = Est. S &amp; C</v>
      </c>
      <c r="J33" s="66"/>
      <c r="K33" s="1527" t="str">
        <f t="shared" ref="K33:K39" si="12">IF(H33=0,"0.00%",(L33-H33)/H33)</f>
        <v>0.00%</v>
      </c>
      <c r="L33" s="2">
        <f>ROUND(H33*(1+M19),0)</f>
        <v>0</v>
      </c>
      <c r="M33" s="1257"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D34" s="2">
        <v>0</v>
      </c>
      <c r="E34" s="1249"/>
      <c r="F34" s="2"/>
      <c r="G34" s="1527" t="str">
        <f t="shared" si="9"/>
        <v>0.00%</v>
      </c>
      <c r="H34" s="2">
        <f t="shared" si="10"/>
        <v>0</v>
      </c>
      <c r="I34" s="1257" t="str">
        <f t="shared" si="11"/>
        <v>2.0% = Est. S &amp; C</v>
      </c>
      <c r="J34" s="66"/>
      <c r="K34" s="1527" t="str">
        <f t="shared" si="12"/>
        <v>0.00%</v>
      </c>
      <c r="L34" s="2">
        <f>ROUND(H34*(1+M19),0)</f>
        <v>0</v>
      </c>
      <c r="M34" s="1257" t="str">
        <f>TEXT(M19,"0.0%")&amp;" = Est. S &amp; C"</f>
        <v>2.0% = Est. S &amp; C</v>
      </c>
      <c r="O34" s="1527" t="str">
        <f t="shared" si="13"/>
        <v>0.00%</v>
      </c>
      <c r="P34" s="2">
        <f>ROUND(L34*(1+Q19),0)</f>
        <v>0</v>
      </c>
      <c r="Q34" s="125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D35" s="2">
        <v>0</v>
      </c>
      <c r="E35" s="1249"/>
      <c r="F35" s="2"/>
      <c r="G35" s="1527" t="str">
        <f t="shared" si="9"/>
        <v>0.00%</v>
      </c>
      <c r="H35" s="2">
        <f t="shared" si="10"/>
        <v>0</v>
      </c>
      <c r="I35" s="1257" t="str">
        <f t="shared" si="11"/>
        <v>2.0% = Est. S &amp; C</v>
      </c>
      <c r="J35" s="66"/>
      <c r="K35" s="1527" t="str">
        <f t="shared" si="12"/>
        <v>0.00%</v>
      </c>
      <c r="L35" s="2">
        <f>ROUND(H35*(1+M19),0)</f>
        <v>0</v>
      </c>
      <c r="M35" s="1257" t="str">
        <f>TEXT(M19,"0.0%")&amp;" = Est. S &amp; C"</f>
        <v>2.0% = Est. S &amp; C</v>
      </c>
      <c r="O35" s="1527" t="str">
        <f t="shared" si="13"/>
        <v>0.00%</v>
      </c>
      <c r="P35" s="2">
        <f>ROUND(L35*(1+Q19),0)</f>
        <v>0</v>
      </c>
      <c r="Q35" s="125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D36" s="2">
        <v>0</v>
      </c>
      <c r="E36" s="1249"/>
      <c r="F36" s="2"/>
      <c r="G36" s="1527" t="str">
        <f t="shared" si="9"/>
        <v>0.00%</v>
      </c>
      <c r="H36" s="2">
        <f t="shared" si="10"/>
        <v>0</v>
      </c>
      <c r="I36" s="1257" t="str">
        <f t="shared" si="11"/>
        <v>2.0% = Est. S &amp; C</v>
      </c>
      <c r="J36" s="66"/>
      <c r="K36" s="1527" t="str">
        <f t="shared" si="12"/>
        <v>0.00%</v>
      </c>
      <c r="L36" s="2">
        <f>ROUND(H36*(1+M19),0)</f>
        <v>0</v>
      </c>
      <c r="M36" s="1257" t="str">
        <f>TEXT(M19,"0.0%")&amp;" = Est. S &amp; C"</f>
        <v>2.0% = Est. S &amp; C</v>
      </c>
      <c r="O36" s="1527" t="str">
        <f t="shared" si="13"/>
        <v>0.00%</v>
      </c>
      <c r="P36" s="2">
        <f>ROUND(L36*(1+Q19),0)</f>
        <v>0</v>
      </c>
      <c r="Q36" s="125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D37" s="2">
        <v>0</v>
      </c>
      <c r="E37" s="1249"/>
      <c r="F37" s="2"/>
      <c r="G37" s="1527" t="str">
        <f t="shared" si="9"/>
        <v>0.00%</v>
      </c>
      <c r="H37" s="2">
        <f t="shared" si="10"/>
        <v>0</v>
      </c>
      <c r="I37" s="1257" t="str">
        <f t="shared" si="11"/>
        <v>2.0% = Est. S &amp; C</v>
      </c>
      <c r="J37" s="66"/>
      <c r="K37" s="1527" t="str">
        <f t="shared" si="12"/>
        <v>0.00%</v>
      </c>
      <c r="L37" s="2">
        <f>ROUND(H37*(1+M19),0)</f>
        <v>0</v>
      </c>
      <c r="M37" s="1257" t="str">
        <f>TEXT(M19,"0.0%")&amp;" = Est. S &amp; C"</f>
        <v>2.0% = Est. S &amp; C</v>
      </c>
      <c r="O37" s="1527" t="str">
        <f t="shared" si="13"/>
        <v>0.00%</v>
      </c>
      <c r="P37" s="2">
        <f>ROUND(L37*(1+Q19),0)</f>
        <v>0</v>
      </c>
      <c r="Q37" s="125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D38" s="2">
        <v>0</v>
      </c>
      <c r="E38" s="1249"/>
      <c r="F38" s="2"/>
      <c r="G38" s="1527" t="str">
        <f t="shared" si="9"/>
        <v>0.00%</v>
      </c>
      <c r="H38" s="2">
        <f t="shared" si="10"/>
        <v>0</v>
      </c>
      <c r="I38" s="1257" t="str">
        <f t="shared" si="11"/>
        <v>2.0% = Est. S &amp; C</v>
      </c>
      <c r="J38" s="66"/>
      <c r="K38" s="1527" t="str">
        <f t="shared" si="12"/>
        <v>0.00%</v>
      </c>
      <c r="L38" s="2">
        <f>ROUND(H38*(1+M19),0)</f>
        <v>0</v>
      </c>
      <c r="M38" s="1257" t="str">
        <f>TEXT(M19,"0.0%")&amp;" = Est. S &amp; C"</f>
        <v>2.0% = Est. S &amp; C</v>
      </c>
      <c r="O38" s="1527" t="str">
        <f t="shared" si="13"/>
        <v>0.00%</v>
      </c>
      <c r="P38" s="2">
        <f>ROUND(L38*(1+Q19),0)</f>
        <v>0</v>
      </c>
      <c r="Q38" s="125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0"/>
        <v>0</v>
      </c>
      <c r="I39" s="1257" t="str">
        <f t="shared" si="11"/>
        <v>2.0% = Est. S &amp; C</v>
      </c>
      <c r="J39" s="66"/>
      <c r="K39" s="1527" t="str">
        <f t="shared" si="12"/>
        <v>0.00%</v>
      </c>
      <c r="L39" s="2">
        <f>ROUND(H39*(1+M19),0)</f>
        <v>0</v>
      </c>
      <c r="M39" s="1257" t="str">
        <f>TEXT(M19,"0.0%")&amp;" = Est. S &amp; C"</f>
        <v>2.0% = Est. S &amp; C</v>
      </c>
      <c r="O39" s="1527" t="str">
        <f t="shared" si="13"/>
        <v>0.00%</v>
      </c>
      <c r="P39" s="2">
        <f>ROUND(L39*(1+Q19),0)</f>
        <v>0</v>
      </c>
      <c r="Q39" s="125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hidden="1"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3"/>
      <c r="B42" s="1317" t="s">
        <v>28</v>
      </c>
      <c r="E42" s="1249"/>
      <c r="F42" s="2"/>
      <c r="H42" s="2"/>
      <c r="I42" s="1257"/>
      <c r="J42" s="66"/>
      <c r="L42" s="2"/>
      <c r="M42" s="1335"/>
      <c r="Q42" s="1335"/>
      <c r="T42" s="2"/>
      <c r="U42" s="73"/>
      <c r="X42" s="2"/>
      <c r="Y42" s="73"/>
      <c r="AB42" s="2"/>
      <c r="AC42" s="73"/>
    </row>
    <row r="43" spans="1:29" hidden="1" x14ac:dyDescent="0.25">
      <c r="A43" s="155"/>
      <c r="B43" s="1323" t="s">
        <v>27</v>
      </c>
      <c r="E43" s="1249"/>
      <c r="F43" s="2"/>
      <c r="H43" s="2"/>
      <c r="I43" s="1257"/>
      <c r="J43" s="66"/>
      <c r="L43" s="2"/>
      <c r="M43" s="1335"/>
      <c r="Q43" s="1335"/>
      <c r="T43" s="2"/>
      <c r="U43" s="73"/>
      <c r="X43" s="2"/>
      <c r="Y43" s="73"/>
      <c r="AB43" s="2"/>
      <c r="AC43" s="73"/>
    </row>
    <row r="44" spans="1:29" hidden="1" x14ac:dyDescent="0.25">
      <c r="A44" s="153"/>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hidden="1" x14ac:dyDescent="0.25">
      <c r="A45" s="153"/>
      <c r="B45" s="1326" t="s">
        <v>84</v>
      </c>
      <c r="C45" s="1243" t="s">
        <v>77</v>
      </c>
      <c r="D45" s="2">
        <v>0</v>
      </c>
      <c r="E45" s="1240" t="str">
        <f>TEXT('MYP Assumptions'!$D$53,"0.00%")&amp;", PERS rate"</f>
        <v>13.89%, PERS rate</v>
      </c>
      <c r="F45" s="2"/>
      <c r="G45" s="1527" t="str">
        <f t="shared" si="17"/>
        <v>0.00%</v>
      </c>
      <c r="H45" s="2">
        <f>ROUND(H41*LEFT(I45,6),0)</f>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hidden="1" x14ac:dyDescent="0.25">
      <c r="A46" s="153"/>
      <c r="B46" s="1326" t="s">
        <v>85</v>
      </c>
      <c r="C46" s="1243" t="s">
        <v>78</v>
      </c>
      <c r="D46" s="2">
        <v>0</v>
      </c>
      <c r="E46" s="1240" t="str">
        <f>TEXT('MYP Assumptions'!$D$54,"0.00%")&amp;", SS rate"</f>
        <v>6.20%, SS rate</v>
      </c>
      <c r="F46" s="2"/>
      <c r="G46" s="1527" t="str">
        <f t="shared" si="17"/>
        <v>0.00%</v>
      </c>
      <c r="H46" s="2">
        <f>ROUND(H41*LEFT(I46,5),0)</f>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hidden="1" x14ac:dyDescent="0.25">
      <c r="A47" s="153"/>
      <c r="B47" s="1326" t="s">
        <v>86</v>
      </c>
      <c r="C47" s="1243" t="s">
        <v>79</v>
      </c>
      <c r="D47" s="2">
        <v>0</v>
      </c>
      <c r="E47" s="1240" t="str">
        <f>TEXT('MYP Assumptions'!$D$55,"0.00%")&amp;", Medicare rate"</f>
        <v>1.45%, Medicare rate</v>
      </c>
      <c r="F47" s="2"/>
      <c r="G47" s="1527" t="str">
        <f t="shared" si="17"/>
        <v>0.00%</v>
      </c>
      <c r="H47" s="2">
        <f>ROUND((H41+H30)*LEFT(I47,5),0)</f>
        <v>0</v>
      </c>
      <c r="I47" s="1240" t="str">
        <f>TEXT('MYP Assumptions'!E55,"0.00%")&amp;", no rate change"</f>
        <v>1.45%, no rate change</v>
      </c>
      <c r="J47" s="66"/>
      <c r="K47" s="1527" t="str">
        <f t="shared" si="18"/>
        <v>0.00%</v>
      </c>
      <c r="L47" s="2">
        <f>ROUND((L41+L30)*LEFT(M47,5),0)</f>
        <v>0</v>
      </c>
      <c r="M47" s="1240"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hidden="1" x14ac:dyDescent="0.25">
      <c r="A48" s="153"/>
      <c r="B48" s="1326" t="s">
        <v>87</v>
      </c>
      <c r="C48" s="1243" t="s">
        <v>80</v>
      </c>
      <c r="D48" s="2">
        <v>0</v>
      </c>
      <c r="E48" s="1240"/>
      <c r="F48" s="2"/>
      <c r="G48" s="1527" t="str">
        <f t="shared" si="17"/>
        <v>0.00%</v>
      </c>
      <c r="H48" s="2">
        <f>ROUND((D48)*(LEFT(I48,5)+1),0)</f>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hidden="1" x14ac:dyDescent="0.25">
      <c r="A49" s="153"/>
      <c r="B49" s="1326" t="s">
        <v>88</v>
      </c>
      <c r="C49" s="1243" t="s">
        <v>81</v>
      </c>
      <c r="D49" s="2">
        <v>0</v>
      </c>
      <c r="E49" s="1240" t="str">
        <f>TEXT('MYP Assumptions'!$D$56,"0.00%")&amp;", SUI rate"</f>
        <v>0.05%, SUI rate</v>
      </c>
      <c r="F49" s="2"/>
      <c r="G49" s="1527" t="str">
        <f t="shared" si="17"/>
        <v>0.00%</v>
      </c>
      <c r="H49" s="2">
        <f>ROUND((H41+H30)*LEFT(I49,5),0)</f>
        <v>0</v>
      </c>
      <c r="I49" s="1240" t="str">
        <f>TEXT('MYP Assumptions'!E56,"0.00%")&amp;", no rate change"</f>
        <v>0.05%, no rate change</v>
      </c>
      <c r="J49" s="66"/>
      <c r="K49" s="1527" t="str">
        <f t="shared" si="18"/>
        <v>0.00%</v>
      </c>
      <c r="L49" s="2">
        <f>ROUND((L41+L30)*LEFT(M49,5),0)</f>
        <v>0</v>
      </c>
      <c r="M49" s="1240"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hidden="1" x14ac:dyDescent="0.25">
      <c r="A50" s="153"/>
      <c r="B50" s="1326" t="s">
        <v>89</v>
      </c>
      <c r="C50" s="1243" t="s">
        <v>82</v>
      </c>
      <c r="D50" s="2">
        <v>0</v>
      </c>
      <c r="E50" s="1240" t="str">
        <f>TEXT('MYP Assumptions'!$D$57,"0.00%")&amp;", W/C rate"</f>
        <v>1.10%, W/C rate</v>
      </c>
      <c r="F50" s="2"/>
      <c r="G50" s="1527" t="str">
        <f t="shared" si="17"/>
        <v>0.00%</v>
      </c>
      <c r="H50" s="2">
        <f>ROUND((H41+H30)*LEFT(I50,5),0)</f>
        <v>0</v>
      </c>
      <c r="I50" s="1240" t="str">
        <f>TEXT('MYP Assumptions'!E57,"0.00%")&amp;", no rate change"</f>
        <v>1.10%, no rate change</v>
      </c>
      <c r="J50" s="66"/>
      <c r="K50" s="1527" t="str">
        <f t="shared" si="18"/>
        <v>0.00%</v>
      </c>
      <c r="L50" s="2">
        <f>ROUND((L41+L30)*LEFT(M50,5),0)</f>
        <v>0</v>
      </c>
      <c r="M50" s="1240"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hidden="1" x14ac:dyDescent="0.25">
      <c r="A51" s="153"/>
      <c r="B51" s="1326" t="s">
        <v>90</v>
      </c>
      <c r="C51" s="1243" t="s">
        <v>92</v>
      </c>
      <c r="D51" s="2">
        <v>0</v>
      </c>
      <c r="E51" s="1249"/>
      <c r="F51" s="2"/>
      <c r="G51" s="1527" t="str">
        <f t="shared" si="17"/>
        <v>0.00%</v>
      </c>
      <c r="H51" s="2">
        <f>D51</f>
        <v>0</v>
      </c>
      <c r="I51" s="1240" t="s">
        <v>166</v>
      </c>
      <c r="J51" s="66"/>
      <c r="K51" s="1527" t="str">
        <f t="shared" si="18"/>
        <v>0.00%</v>
      </c>
      <c r="L51" s="2">
        <f>H51</f>
        <v>0</v>
      </c>
      <c r="M51" s="1240" t="s">
        <v>166</v>
      </c>
      <c r="O51" s="1527" t="str">
        <f t="shared" si="19"/>
        <v>0.00%</v>
      </c>
      <c r="P51" s="2">
        <f>L51</f>
        <v>0</v>
      </c>
      <c r="Q51" s="1240"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3"/>
      <c r="B52" s="1326" t="s">
        <v>91</v>
      </c>
      <c r="C52" s="1243" t="s">
        <v>93</v>
      </c>
      <c r="D52" s="2">
        <v>0</v>
      </c>
      <c r="E52" s="1249"/>
      <c r="F52" s="2"/>
      <c r="G52" s="1527" t="str">
        <f t="shared" si="17"/>
        <v>0.00%</v>
      </c>
      <c r="H52" s="2">
        <f>D52</f>
        <v>0</v>
      </c>
      <c r="I52" s="1240" t="s">
        <v>166</v>
      </c>
      <c r="J52" s="66"/>
      <c r="K52" s="1527" t="str">
        <f t="shared" si="18"/>
        <v>0.00%</v>
      </c>
      <c r="L52" s="2">
        <f>H52</f>
        <v>0</v>
      </c>
      <c r="M52" s="1240" t="s">
        <v>166</v>
      </c>
      <c r="O52" s="1527" t="str">
        <f t="shared" si="19"/>
        <v>0.00%</v>
      </c>
      <c r="P52" s="2">
        <f>L52</f>
        <v>0</v>
      </c>
      <c r="Q52" s="1240"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4"/>
      <c r="B53" s="1326"/>
      <c r="D53" s="8">
        <f>SUM(D44:D52)</f>
        <v>0</v>
      </c>
      <c r="E53" s="1249"/>
      <c r="F53" s="2"/>
      <c r="G53" s="1527" t="str">
        <f t="shared" si="17"/>
        <v>0.00%</v>
      </c>
      <c r="H53" s="8">
        <f>SUM(H44:H52)</f>
        <v>0</v>
      </c>
      <c r="I53" s="1258"/>
      <c r="J53" s="29"/>
      <c r="K53" s="1527" t="str">
        <f t="shared" si="18"/>
        <v>0.00%</v>
      </c>
      <c r="L53" s="8">
        <f>SUM(L44:L52)</f>
        <v>0</v>
      </c>
      <c r="M53" s="1335"/>
      <c r="O53" s="1527" t="str">
        <f t="shared" si="19"/>
        <v>0.00%</v>
      </c>
      <c r="P53" s="8">
        <f>SUM(P44:P52)</f>
        <v>0</v>
      </c>
      <c r="Q53" s="1335"/>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5"/>
      <c r="B54" s="1326"/>
      <c r="E54" s="1249"/>
      <c r="F54" s="2"/>
      <c r="H54" s="2"/>
      <c r="I54" s="1257"/>
      <c r="J54" s="66"/>
      <c r="L54" s="2"/>
      <c r="M54" s="1335"/>
      <c r="Q54" s="1335"/>
      <c r="T54" s="2"/>
      <c r="U54" s="73"/>
      <c r="X54" s="2"/>
      <c r="Y54" s="73"/>
      <c r="AB54" s="2"/>
      <c r="AC54" s="73"/>
    </row>
    <row r="55" spans="1:29" hidden="1" x14ac:dyDescent="0.25">
      <c r="A55" s="154"/>
      <c r="B55" s="1323" t="s">
        <v>26</v>
      </c>
      <c r="D55" s="8">
        <f>SUM(D53,D41,D30)</f>
        <v>0</v>
      </c>
      <c r="E55" s="1249"/>
      <c r="F55" s="2"/>
      <c r="G55" s="1527" t="str">
        <f>IF(D55=0,"0.00%",(H55-D55)/D55)</f>
        <v>0.00%</v>
      </c>
      <c r="H55" s="8">
        <f>SUM(H53,H41,H30)</f>
        <v>0</v>
      </c>
      <c r="I55" s="1258"/>
      <c r="J55" s="29"/>
      <c r="K55" s="1527" t="str">
        <f>IF(H55=0,"0.00%",(L55-H55)/H55)</f>
        <v>0.00%</v>
      </c>
      <c r="L55" s="8">
        <f>SUM(L53,L41,L30)</f>
        <v>0</v>
      </c>
      <c r="M55" s="1335"/>
      <c r="O55" s="1527" t="str">
        <f>IF(L55=0,"0.00%",(P55-L55)/L55)</f>
        <v>0.00%</v>
      </c>
      <c r="P55" s="8">
        <f>SUM(P53,P41,P30)</f>
        <v>0</v>
      </c>
      <c r="Q55" s="1335"/>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6"/>
      <c r="E56" s="1249"/>
      <c r="F56" s="2"/>
      <c r="H56" s="2"/>
      <c r="I56" s="1257"/>
      <c r="J56" s="66"/>
      <c r="L56" s="2"/>
      <c r="M56" s="1335"/>
      <c r="Q56" s="1335"/>
      <c r="T56" s="2"/>
      <c r="U56" s="73"/>
      <c r="X56" s="2"/>
      <c r="Y56" s="73"/>
      <c r="AB56" s="2"/>
      <c r="AC56" s="73"/>
    </row>
    <row r="57" spans="1:29" hidden="1" x14ac:dyDescent="0.25">
      <c r="A57" s="153"/>
      <c r="E57" s="1249"/>
      <c r="F57" s="2"/>
      <c r="H57" s="2"/>
      <c r="I57" s="1257"/>
      <c r="J57" s="66"/>
      <c r="L57" s="2"/>
      <c r="M57" s="1335"/>
      <c r="Q57" s="1335"/>
      <c r="T57" s="2"/>
      <c r="U57" s="73"/>
      <c r="X57" s="2"/>
      <c r="Y57" s="73"/>
      <c r="AB57" s="2"/>
      <c r="AC57" s="73"/>
    </row>
    <row r="58" spans="1:29" hidden="1" x14ac:dyDescent="0.25">
      <c r="A58" s="156"/>
      <c r="B58" s="1327" t="s">
        <v>25</v>
      </c>
      <c r="C58" s="1259"/>
      <c r="E58" s="1249"/>
      <c r="F58" s="2"/>
      <c r="H58" s="2"/>
      <c r="I58" s="1257"/>
      <c r="J58" s="66"/>
      <c r="L58" s="2"/>
      <c r="M58" s="1335"/>
      <c r="Q58" s="1335"/>
      <c r="T58" s="2"/>
      <c r="U58" s="73"/>
      <c r="X58" s="2"/>
      <c r="Y58" s="73"/>
      <c r="AB58" s="2"/>
      <c r="AC58" s="73"/>
    </row>
    <row r="59" spans="1:29" hidden="1" x14ac:dyDescent="0.25">
      <c r="A59" s="153"/>
      <c r="B59" s="1326"/>
      <c r="D59" s="2">
        <v>0</v>
      </c>
      <c r="E59" s="1249"/>
      <c r="F59" s="2"/>
      <c r="G59" s="1527" t="str">
        <f t="shared" ref="G59:G66" si="23">IF(D59=0,"0.00%",(H59-D59)/D59)</f>
        <v>0.00%</v>
      </c>
      <c r="H59" s="2">
        <f t="shared" ref="H59:H65" si="24">ROUND(D59*(LEFT(I59,5)+1),0)</f>
        <v>0</v>
      </c>
      <c r="I59" s="1240" t="str">
        <f>TEXT('MYP Assumptions'!E72,"0.00%")&amp;", CPI"</f>
        <v>3.11%, CPI</v>
      </c>
      <c r="J59" s="66"/>
      <c r="K59" s="1527" t="str">
        <f t="shared" ref="K59:K66" si="25">IF(H59=0,"0.00%",(L59-H59)/H59)</f>
        <v>0.00%</v>
      </c>
      <c r="L59" s="2">
        <f>ROUND(H59*(LEFT(M59,5)+1),0)</f>
        <v>0</v>
      </c>
      <c r="M59" s="1240" t="str">
        <f>TEXT('MYP Assumptions'!F72,"0.00%")&amp;", CPI"</f>
        <v>3.19%, CPI</v>
      </c>
      <c r="O59" s="1527" t="str">
        <f t="shared" ref="O59:O66" si="26">IF(L59=0,"0.00%",(P59-L59)/L59)</f>
        <v>0.00%</v>
      </c>
      <c r="P59" s="2">
        <f>ROUND(L59*(LEFT(Q59,5)+1),0)</f>
        <v>0</v>
      </c>
      <c r="Q59" s="1240" t="str">
        <f>TEXT('MYP Assumptions'!G72,"0.00%")&amp;", CPI"</f>
        <v>2.86%, CPI</v>
      </c>
      <c r="S59" s="83" t="str">
        <f t="shared" ref="S59:S66" si="27">IF(P59=0,"0.00%",(T59-P59)/P59)</f>
        <v>0.00%</v>
      </c>
      <c r="T59" s="2">
        <f>ROUND(P59*(LEFT(U59,5)+1),0)</f>
        <v>0</v>
      </c>
      <c r="U59" s="81" t="str">
        <f>TEXT('MYP Assumptions'!H72,"0.00%")&amp;", CPI"</f>
        <v>2.73%, CPI</v>
      </c>
      <c r="W59" s="83" t="str">
        <f t="shared" ref="W59:W66" si="28">IF(T59=0,"0.00%",(X59-T59)/T59)</f>
        <v>0.00%</v>
      </c>
      <c r="X59" s="2">
        <f>ROUND(T59*(LEFT(Y59,5)+1),0)</f>
        <v>0</v>
      </c>
      <c r="Y59" s="81" t="str">
        <f>TEXT('MYP Assumptions'!I72,"0.00%")&amp;", CPI"</f>
        <v>2.73%, CPI</v>
      </c>
      <c r="AA59" s="83" t="str">
        <f t="shared" ref="AA59:AA66" si="29">IF(X59=0,"0.00%",(AB59-X59)/X59)</f>
        <v>0.00%</v>
      </c>
      <c r="AB59" s="2">
        <f>ROUND(X59*(LEFT(AC59,5)+1),0)</f>
        <v>0</v>
      </c>
      <c r="AC59" s="81" t="str">
        <f>TEXT('MYP Assumptions'!J72,"0.00%")&amp;", CPI"</f>
        <v>2.73%, CPI</v>
      </c>
    </row>
    <row r="60" spans="1:29" hidden="1" x14ac:dyDescent="0.25">
      <c r="A60" s="153"/>
      <c r="B60" s="1326"/>
      <c r="D60" s="2">
        <v>0</v>
      </c>
      <c r="E60" s="1249"/>
      <c r="F60" s="2"/>
      <c r="G60" s="1527" t="str">
        <f t="shared" si="23"/>
        <v>0.00%</v>
      </c>
      <c r="H60" s="2">
        <f t="shared" si="24"/>
        <v>0</v>
      </c>
      <c r="I60" s="1240" t="str">
        <f>TEXT('MYP Assumptions'!E72,"0.00%")&amp;", CPI"</f>
        <v>3.11%, CPI</v>
      </c>
      <c r="J60" s="66"/>
      <c r="K60" s="1527" t="str">
        <f t="shared" si="25"/>
        <v>0.00%</v>
      </c>
      <c r="L60" s="2">
        <f t="shared" ref="L60:L65" si="30">ROUND(H60*(LEFT(M60,5)+1),0)</f>
        <v>0</v>
      </c>
      <c r="M60" s="1240" t="str">
        <f>TEXT('MYP Assumptions'!F72,"0.00%")&amp;", CPI"</f>
        <v>3.19%, CPI</v>
      </c>
      <c r="O60" s="1527" t="str">
        <f t="shared" si="26"/>
        <v>0.00%</v>
      </c>
      <c r="P60" s="2">
        <f t="shared" ref="P60:P65" si="31">ROUND(L60*(LEFT(Q60,5)+1),0)</f>
        <v>0</v>
      </c>
      <c r="Q60" s="1240" t="str">
        <f>TEXT('MYP Assumptions'!G72,"0.00%")&amp;", CPI"</f>
        <v>2.86%, CPI</v>
      </c>
      <c r="S60" s="83" t="str">
        <f t="shared" si="27"/>
        <v>0.00%</v>
      </c>
      <c r="T60" s="2">
        <f t="shared" ref="T60:T65" si="32">ROUND(P60*(LEFT(U60,5)+1),0)</f>
        <v>0</v>
      </c>
      <c r="U60" s="81" t="str">
        <f>TEXT('MYP Assumptions'!H72,"0.00%")&amp;", CPI"</f>
        <v>2.73%, CPI</v>
      </c>
      <c r="W60" s="83" t="str">
        <f t="shared" si="28"/>
        <v>0.00%</v>
      </c>
      <c r="X60" s="2">
        <f t="shared" ref="X60:X65" si="33">ROUND(T60*(LEFT(Y60,5)+1),0)</f>
        <v>0</v>
      </c>
      <c r="Y60" s="81" t="str">
        <f>TEXT('MYP Assumptions'!I72,"0.00%")&amp;", CPI"</f>
        <v>2.73%, CPI</v>
      </c>
      <c r="AA60" s="83" t="str">
        <f t="shared" si="29"/>
        <v>0.00%</v>
      </c>
      <c r="AB60" s="2">
        <f t="shared" ref="AB60:AB65" si="34">ROUND(X60*(LEFT(AC60,5)+1),0)</f>
        <v>0</v>
      </c>
      <c r="AC60" s="81" t="str">
        <f>TEXT('MYP Assumptions'!J72,"0.00%")&amp;", CPI"</f>
        <v>2.73%, CPI</v>
      </c>
    </row>
    <row r="61" spans="1:29" hidden="1" x14ac:dyDescent="0.25">
      <c r="A61" s="153"/>
      <c r="B61" s="1326"/>
      <c r="D61" s="2">
        <v>0</v>
      </c>
      <c r="E61" s="1249"/>
      <c r="F61" s="2"/>
      <c r="G61" s="1527" t="str">
        <f t="shared" si="23"/>
        <v>0.00%</v>
      </c>
      <c r="H61" s="2">
        <f t="shared" si="24"/>
        <v>0</v>
      </c>
      <c r="I61" s="1240" t="str">
        <f>TEXT('MYP Assumptions'!E72,"0.00%")&amp;", CPI"</f>
        <v>3.11%, CPI</v>
      </c>
      <c r="J61" s="66"/>
      <c r="K61" s="1527" t="str">
        <f t="shared" si="25"/>
        <v>0.00%</v>
      </c>
      <c r="L61" s="2">
        <f t="shared" si="30"/>
        <v>0</v>
      </c>
      <c r="M61" s="1240" t="str">
        <f>TEXT('MYP Assumptions'!F72,"0.00%")&amp;", CPI"</f>
        <v>3.19%, CPI</v>
      </c>
      <c r="O61" s="1527" t="str">
        <f t="shared" si="26"/>
        <v>0.00%</v>
      </c>
      <c r="P61" s="2">
        <f t="shared" si="31"/>
        <v>0</v>
      </c>
      <c r="Q61" s="1240" t="str">
        <f>TEXT('MYP Assumptions'!G72,"0.00%")&amp;", CPI"</f>
        <v>2.86%, CPI</v>
      </c>
      <c r="S61" s="83" t="str">
        <f t="shared" si="27"/>
        <v>0.00%</v>
      </c>
      <c r="T61" s="2">
        <f t="shared" si="32"/>
        <v>0</v>
      </c>
      <c r="U61" s="81" t="str">
        <f>TEXT('MYP Assumptions'!H72,"0.00%")&amp;", CPI"</f>
        <v>2.73%, CPI</v>
      </c>
      <c r="W61" s="83" t="str">
        <f t="shared" si="28"/>
        <v>0.00%</v>
      </c>
      <c r="X61" s="2">
        <f t="shared" si="33"/>
        <v>0</v>
      </c>
      <c r="Y61" s="81" t="str">
        <f>TEXT('MYP Assumptions'!I72,"0.00%")&amp;", CPI"</f>
        <v>2.73%, CPI</v>
      </c>
      <c r="AA61" s="83" t="str">
        <f t="shared" si="29"/>
        <v>0.00%</v>
      </c>
      <c r="AB61" s="2">
        <f t="shared" si="34"/>
        <v>0</v>
      </c>
      <c r="AC61" s="81" t="str">
        <f>TEXT('MYP Assumptions'!J72,"0.00%")&amp;", CPI"</f>
        <v>2.73%, CPI</v>
      </c>
    </row>
    <row r="62" spans="1:29" hidden="1" x14ac:dyDescent="0.25">
      <c r="A62" s="153"/>
      <c r="B62" s="1326"/>
      <c r="D62" s="2">
        <v>0</v>
      </c>
      <c r="E62" s="1249"/>
      <c r="F62" s="2"/>
      <c r="G62" s="1527" t="str">
        <f t="shared" si="23"/>
        <v>0.00%</v>
      </c>
      <c r="H62" s="2">
        <f t="shared" si="24"/>
        <v>0</v>
      </c>
      <c r="I62" s="1240" t="str">
        <f>TEXT('MYP Assumptions'!E72,"0.00%")&amp;", CPI"</f>
        <v>3.11%, CPI</v>
      </c>
      <c r="J62" s="66"/>
      <c r="K62" s="1527" t="str">
        <f t="shared" si="25"/>
        <v>0.00%</v>
      </c>
      <c r="L62" s="2">
        <f t="shared" si="30"/>
        <v>0</v>
      </c>
      <c r="M62" s="1240" t="str">
        <f>TEXT('MYP Assumptions'!F72,"0.00%")&amp;", CPI"</f>
        <v>3.19%, CPI</v>
      </c>
      <c r="O62" s="1527" t="str">
        <f t="shared" si="26"/>
        <v>0.00%</v>
      </c>
      <c r="P62" s="2">
        <f t="shared" si="31"/>
        <v>0</v>
      </c>
      <c r="Q62" s="1240" t="str">
        <f>TEXT('MYP Assumptions'!G72,"0.00%")&amp;", CPI"</f>
        <v>2.86%, CPI</v>
      </c>
      <c r="S62" s="83" t="str">
        <f t="shared" si="27"/>
        <v>0.00%</v>
      </c>
      <c r="T62" s="2">
        <f t="shared" si="32"/>
        <v>0</v>
      </c>
      <c r="U62" s="81" t="str">
        <f>TEXT('MYP Assumptions'!H72,"0.00%")&amp;", CPI"</f>
        <v>2.73%, CPI</v>
      </c>
      <c r="W62" s="83" t="str">
        <f t="shared" si="28"/>
        <v>0.00%</v>
      </c>
      <c r="X62" s="2">
        <f t="shared" si="33"/>
        <v>0</v>
      </c>
      <c r="Y62" s="81" t="str">
        <f>TEXT('MYP Assumptions'!I72,"0.00%")&amp;", CPI"</f>
        <v>2.73%, CPI</v>
      </c>
      <c r="AA62" s="83" t="str">
        <f t="shared" si="29"/>
        <v>0.00%</v>
      </c>
      <c r="AB62" s="2">
        <f t="shared" si="34"/>
        <v>0</v>
      </c>
      <c r="AC62" s="81" t="str">
        <f>TEXT('MYP Assumptions'!J72,"0.00%")&amp;", CPI"</f>
        <v>2.73%, CPI</v>
      </c>
    </row>
    <row r="63" spans="1:29" hidden="1" x14ac:dyDescent="0.25">
      <c r="A63" s="153"/>
      <c r="B63" s="1326"/>
      <c r="D63" s="2">
        <v>0</v>
      </c>
      <c r="E63" s="1249"/>
      <c r="F63" s="2"/>
      <c r="G63" s="1527" t="str">
        <f t="shared" si="23"/>
        <v>0.00%</v>
      </c>
      <c r="H63" s="2">
        <f t="shared" si="24"/>
        <v>0</v>
      </c>
      <c r="I63" s="1240" t="str">
        <f>TEXT('MYP Assumptions'!E72,"0.00%")&amp;", CPI"</f>
        <v>3.11%, CPI</v>
      </c>
      <c r="J63" s="66"/>
      <c r="K63" s="1527" t="str">
        <f t="shared" si="25"/>
        <v>0.00%</v>
      </c>
      <c r="L63" s="2">
        <f t="shared" si="30"/>
        <v>0</v>
      </c>
      <c r="M63" s="1240" t="str">
        <f>TEXT('MYP Assumptions'!F72,"0.00%")&amp;", CPI"</f>
        <v>3.19%, CPI</v>
      </c>
      <c r="O63" s="1527" t="str">
        <f t="shared" si="26"/>
        <v>0.00%</v>
      </c>
      <c r="P63" s="2">
        <f t="shared" si="31"/>
        <v>0</v>
      </c>
      <c r="Q63" s="1240" t="str">
        <f>TEXT('MYP Assumptions'!G72,"0.00%")&amp;", CPI"</f>
        <v>2.86%, CPI</v>
      </c>
      <c r="S63" s="83" t="str">
        <f t="shared" si="27"/>
        <v>0.00%</v>
      </c>
      <c r="T63" s="2">
        <f t="shared" si="32"/>
        <v>0</v>
      </c>
      <c r="U63" s="81" t="str">
        <f>TEXT('MYP Assumptions'!H72,"0.00%")&amp;", CPI"</f>
        <v>2.73%, CPI</v>
      </c>
      <c r="W63" s="83" t="str">
        <f t="shared" si="28"/>
        <v>0.00%</v>
      </c>
      <c r="X63" s="2">
        <f t="shared" si="33"/>
        <v>0</v>
      </c>
      <c r="Y63" s="81" t="str">
        <f>TEXT('MYP Assumptions'!I72,"0.00%")&amp;", CPI"</f>
        <v>2.73%, CPI</v>
      </c>
      <c r="AA63" s="83" t="str">
        <f t="shared" si="29"/>
        <v>0.00%</v>
      </c>
      <c r="AB63" s="2">
        <f t="shared" si="34"/>
        <v>0</v>
      </c>
      <c r="AC63" s="81" t="str">
        <f>TEXT('MYP Assumptions'!J72,"0.00%")&amp;", CPI"</f>
        <v>2.73%, CPI</v>
      </c>
    </row>
    <row r="64" spans="1:29" hidden="1" x14ac:dyDescent="0.25">
      <c r="A64" s="153"/>
      <c r="B64" s="1326"/>
      <c r="D64" s="2">
        <v>0</v>
      </c>
      <c r="E64" s="1249"/>
      <c r="F64" s="2"/>
      <c r="G64" s="1527" t="str">
        <f t="shared" si="23"/>
        <v>0.00%</v>
      </c>
      <c r="H64" s="2">
        <f t="shared" si="24"/>
        <v>0</v>
      </c>
      <c r="I64" s="1240" t="str">
        <f>TEXT('MYP Assumptions'!E72,"0.00%")&amp;", CPI"</f>
        <v>3.11%, CPI</v>
      </c>
      <c r="J64" s="66"/>
      <c r="K64" s="1527" t="str">
        <f t="shared" si="25"/>
        <v>0.00%</v>
      </c>
      <c r="L64" s="2">
        <f t="shared" si="30"/>
        <v>0</v>
      </c>
      <c r="M64" s="1240" t="str">
        <f>TEXT('MYP Assumptions'!F72,"0.00%")&amp;", CPI"</f>
        <v>3.19%, CPI</v>
      </c>
      <c r="O64" s="1527" t="str">
        <f t="shared" si="26"/>
        <v>0.00%</v>
      </c>
      <c r="P64" s="2">
        <f t="shared" si="31"/>
        <v>0</v>
      </c>
      <c r="Q64" s="1240" t="str">
        <f>TEXT('MYP Assumptions'!G72,"0.00%")&amp;", CPI"</f>
        <v>2.86%, CPI</v>
      </c>
      <c r="S64" s="83" t="str">
        <f t="shared" si="27"/>
        <v>0.00%</v>
      </c>
      <c r="T64" s="2">
        <f t="shared" si="32"/>
        <v>0</v>
      </c>
      <c r="U64" s="81" t="str">
        <f>TEXT('MYP Assumptions'!H72,"0.00%")&amp;", CPI"</f>
        <v>2.73%, CPI</v>
      </c>
      <c r="W64" s="83" t="str">
        <f t="shared" si="28"/>
        <v>0.00%</v>
      </c>
      <c r="X64" s="2">
        <f t="shared" si="33"/>
        <v>0</v>
      </c>
      <c r="Y64" s="81" t="str">
        <f>TEXT('MYP Assumptions'!I72,"0.00%")&amp;", CPI"</f>
        <v>2.73%, CPI</v>
      </c>
      <c r="AA64" s="83" t="str">
        <f t="shared" si="29"/>
        <v>0.00%</v>
      </c>
      <c r="AB64" s="2">
        <f t="shared" si="34"/>
        <v>0</v>
      </c>
      <c r="AC64" s="81" t="str">
        <f>TEXT('MYP Assumptions'!J72,"0.00%")&amp;", CPI"</f>
        <v>2.73%, CPI</v>
      </c>
    </row>
    <row r="65" spans="1:29" hidden="1" x14ac:dyDescent="0.25">
      <c r="A65" s="153"/>
      <c r="B65" s="1326"/>
      <c r="C65" s="1328"/>
      <c r="D65" s="2">
        <v>0</v>
      </c>
      <c r="E65" s="1249"/>
      <c r="F65" s="2"/>
      <c r="G65" s="1527" t="str">
        <f t="shared" si="23"/>
        <v>0.00%</v>
      </c>
      <c r="H65" s="2">
        <f t="shared" si="24"/>
        <v>0</v>
      </c>
      <c r="I65" s="1240" t="str">
        <f>TEXT('MYP Assumptions'!E72,"0.00%")&amp;", CPI"</f>
        <v>3.11%, CPI</v>
      </c>
      <c r="J65" s="66"/>
      <c r="K65" s="1527" t="str">
        <f t="shared" si="25"/>
        <v>0.00%</v>
      </c>
      <c r="L65" s="2">
        <f t="shared" si="30"/>
        <v>0</v>
      </c>
      <c r="M65" s="1240" t="str">
        <f>TEXT('MYP Assumptions'!F72,"0.00%")&amp;", CPI"</f>
        <v>3.19%, CPI</v>
      </c>
      <c r="O65" s="1527" t="str">
        <f t="shared" si="26"/>
        <v>0.00%</v>
      </c>
      <c r="P65" s="2">
        <f t="shared" si="31"/>
        <v>0</v>
      </c>
      <c r="Q65" s="1240" t="str">
        <f>TEXT('MYP Assumptions'!G72,"0.00%")&amp;", CPI"</f>
        <v>2.86%, CPI</v>
      </c>
      <c r="S65" s="83" t="str">
        <f t="shared" si="27"/>
        <v>0.00%</v>
      </c>
      <c r="T65" s="2">
        <f t="shared" si="32"/>
        <v>0</v>
      </c>
      <c r="U65" s="81" t="str">
        <f>TEXT('MYP Assumptions'!H72,"0.00%")&amp;", CPI"</f>
        <v>2.73%, CPI</v>
      </c>
      <c r="W65" s="83" t="str">
        <f t="shared" si="28"/>
        <v>0.00%</v>
      </c>
      <c r="X65" s="2">
        <f t="shared" si="33"/>
        <v>0</v>
      </c>
      <c r="Y65" s="81" t="str">
        <f>TEXT('MYP Assumptions'!I72,"0.00%")&amp;", CPI"</f>
        <v>2.73%, CPI</v>
      </c>
      <c r="AA65" s="83" t="str">
        <f t="shared" si="29"/>
        <v>0.00%</v>
      </c>
      <c r="AB65" s="2">
        <f t="shared" si="34"/>
        <v>0</v>
      </c>
      <c r="AC65" s="81" t="str">
        <f>TEXT('MYP Assumptions'!J72,"0.00%")&amp;", CPI"</f>
        <v>2.73%, CPI</v>
      </c>
    </row>
    <row r="66" spans="1:29" hidden="1" x14ac:dyDescent="0.25">
      <c r="A66" s="154"/>
      <c r="B66" s="1243"/>
      <c r="D66" s="8">
        <f>SUM(D59:D65)</f>
        <v>0</v>
      </c>
      <c r="E66" s="1249"/>
      <c r="F66" s="2"/>
      <c r="G66" s="1527" t="str">
        <f t="shared" si="23"/>
        <v>0.00%</v>
      </c>
      <c r="H66" s="8">
        <f>SUM(H59:H65)</f>
        <v>0</v>
      </c>
      <c r="I66" s="1258"/>
      <c r="J66" s="29"/>
      <c r="K66" s="1527" t="str">
        <f t="shared" si="25"/>
        <v>0.00%</v>
      </c>
      <c r="L66" s="8">
        <f>SUM(L59:L65)</f>
        <v>0</v>
      </c>
      <c r="M66" s="1335"/>
      <c r="O66" s="1527" t="str">
        <f t="shared" si="26"/>
        <v>0.00%</v>
      </c>
      <c r="P66" s="8">
        <f>SUM(P59:P65)</f>
        <v>0</v>
      </c>
      <c r="Q66" s="1335"/>
      <c r="S66" s="83" t="str">
        <f t="shared" si="27"/>
        <v>0.00%</v>
      </c>
      <c r="T66" s="8">
        <f>SUM(T59:T65)</f>
        <v>0</v>
      </c>
      <c r="U66" s="73"/>
      <c r="W66" s="83" t="str">
        <f t="shared" si="28"/>
        <v>0.00%</v>
      </c>
      <c r="X66" s="8">
        <f>SUM(X59:X65)</f>
        <v>0</v>
      </c>
      <c r="Y66" s="73"/>
      <c r="AA66" s="83" t="str">
        <f t="shared" si="29"/>
        <v>0.00%</v>
      </c>
      <c r="AB66" s="8">
        <f>SUM(AB59:AB65)</f>
        <v>0</v>
      </c>
      <c r="AC66" s="73"/>
    </row>
    <row r="67" spans="1:29" hidden="1" x14ac:dyDescent="0.25">
      <c r="A67" s="153"/>
      <c r="E67" s="1249"/>
      <c r="F67" s="2"/>
      <c r="H67" s="2"/>
      <c r="I67" s="1257"/>
      <c r="J67" s="66"/>
      <c r="L67" s="2"/>
      <c r="M67" s="1335"/>
      <c r="Q67" s="1335"/>
      <c r="T67" s="2"/>
      <c r="U67" s="73"/>
      <c r="X67" s="2"/>
      <c r="Y67" s="73"/>
      <c r="AB67" s="2"/>
      <c r="AC67" s="73"/>
    </row>
    <row r="68" spans="1:29" s="4" customFormat="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x14ac:dyDescent="0.25">
      <c r="A69" s="153"/>
      <c r="B69" s="1326">
        <v>5600</v>
      </c>
      <c r="C69" s="1243" t="s">
        <v>333</v>
      </c>
      <c r="D69" s="2">
        <v>108900</v>
      </c>
      <c r="E69" s="1249"/>
      <c r="F69" s="2"/>
      <c r="G69" s="1527">
        <f t="shared" ref="G69:G74" si="35">IF(D69=0,"0.00%",(H69-D69)/D69)</f>
        <v>2.0303030303030303</v>
      </c>
      <c r="H69" s="2">
        <v>330000</v>
      </c>
      <c r="I69" s="1240"/>
      <c r="J69" s="66"/>
      <c r="K69" s="1527">
        <f t="shared" ref="K69:K82" si="36">IF(H69=0,"0.00%",(L69-H69)/H69)</f>
        <v>-0.69696969696969702</v>
      </c>
      <c r="L69" s="2">
        <v>100000</v>
      </c>
      <c r="M69" s="1240"/>
      <c r="O69" s="1527">
        <f t="shared" ref="O69:O82" si="37">IF(L69=0,"0.00%",(P69-L69)/L69)</f>
        <v>-0.5</v>
      </c>
      <c r="P69" s="2">
        <v>50000</v>
      </c>
      <c r="Q69" s="1240"/>
      <c r="S69" s="83">
        <f t="shared" ref="S69:S82" si="38">IF(P69=0,"0.00%",(T69-P69)/P69)</f>
        <v>2.7300000000000001E-2</v>
      </c>
      <c r="T69" s="2">
        <f>ROUND(P69*(LEFT(U69,5)+1),0)</f>
        <v>51365</v>
      </c>
      <c r="U69" s="81" t="str">
        <f>TEXT('MYP Assumptions'!H72,"0.00%")&amp;", CPI"</f>
        <v>2.73%, CPI</v>
      </c>
      <c r="W69" s="83">
        <f t="shared" ref="W69:W82" si="39">IF(T69=0,"0.00%",(X69-T69)/T69)</f>
        <v>2.7294850579188162E-2</v>
      </c>
      <c r="X69" s="2">
        <f>ROUND(T69*(LEFT(Y69,5)+1),0)</f>
        <v>52767</v>
      </c>
      <c r="Y69" s="81" t="str">
        <f>TEXT('MYP Assumptions'!I72,"0.00%")&amp;", CPI"</f>
        <v>2.73%, CPI</v>
      </c>
      <c r="AA69" s="83">
        <f t="shared" ref="AA69:AA82" si="40">IF(X69=0,"0.00%",(AB69-X69)/X69)</f>
        <v>2.7308734625807796E-2</v>
      </c>
      <c r="AB69" s="2">
        <f>ROUND(X69*(LEFT(AC69,5)+1),0)</f>
        <v>54208</v>
      </c>
      <c r="AC69" s="81" t="str">
        <f>TEXT('MYP Assumptions'!J72,"0.00%")&amp;", CPI"</f>
        <v>2.73%, CPI</v>
      </c>
    </row>
    <row r="70" spans="1:29" x14ac:dyDescent="0.25">
      <c r="A70" s="153"/>
      <c r="B70" s="1326">
        <v>5809</v>
      </c>
      <c r="C70" s="1243" t="s">
        <v>123</v>
      </c>
      <c r="D70" s="2">
        <v>0</v>
      </c>
      <c r="E70" s="1249"/>
      <c r="F70" s="2"/>
      <c r="G70" s="1527" t="str">
        <f t="shared" si="35"/>
        <v>0.00%</v>
      </c>
      <c r="H70" s="2">
        <v>225</v>
      </c>
      <c r="I70" s="1240"/>
      <c r="J70" s="66"/>
      <c r="K70" s="1527">
        <f t="shared" si="36"/>
        <v>-1</v>
      </c>
      <c r="L70" s="2">
        <v>0</v>
      </c>
      <c r="M70" s="1240"/>
      <c r="O70" s="1527" t="str">
        <f t="shared" si="37"/>
        <v>0.00%</v>
      </c>
      <c r="Q70" s="1240"/>
      <c r="S70" s="83" t="str">
        <f t="shared" si="38"/>
        <v>0.00%</v>
      </c>
      <c r="T70" s="2">
        <f t="shared" ref="T70:T81" si="41">ROUND(P70*(LEFT(U70,5)+1),0)</f>
        <v>0</v>
      </c>
      <c r="U70" s="81" t="str">
        <f>TEXT('MYP Assumptions'!H72,"0.00%")&amp;", CPI"</f>
        <v>2.73%, CPI</v>
      </c>
      <c r="W70" s="83" t="str">
        <f t="shared" si="39"/>
        <v>0.00%</v>
      </c>
      <c r="X70" s="2">
        <f t="shared" ref="X70:X81" si="42">ROUND(T70*(LEFT(Y70,5)+1),0)</f>
        <v>0</v>
      </c>
      <c r="Y70" s="81" t="str">
        <f>TEXT('MYP Assumptions'!I72,"0.00%")&amp;", CPI"</f>
        <v>2.73%, CPI</v>
      </c>
      <c r="AA70" s="83" t="str">
        <f t="shared" si="40"/>
        <v>0.00%</v>
      </c>
      <c r="AB70" s="2">
        <f t="shared" ref="AB70:AB81" si="43">ROUND(X70*(LEFT(AC70,5)+1),0)</f>
        <v>0</v>
      </c>
      <c r="AC70" s="81" t="str">
        <f>TEXT('MYP Assumptions'!J72,"0.00%")&amp;", CPI"</f>
        <v>2.73%, CPI</v>
      </c>
    </row>
    <row r="71" spans="1:29" x14ac:dyDescent="0.25">
      <c r="A71" s="153"/>
      <c r="B71" s="1326"/>
      <c r="D71" s="2">
        <v>0</v>
      </c>
      <c r="E71" s="1249"/>
      <c r="F71" s="2"/>
      <c r="G71" s="1527" t="str">
        <f t="shared" si="35"/>
        <v>0.00%</v>
      </c>
      <c r="H71" s="2">
        <v>0</v>
      </c>
      <c r="I71" s="1240"/>
      <c r="J71" s="66"/>
      <c r="K71" s="1527" t="str">
        <f t="shared" si="36"/>
        <v>0.00%</v>
      </c>
      <c r="L71" s="2">
        <v>0</v>
      </c>
      <c r="M71" s="1240"/>
      <c r="O71" s="1527" t="str">
        <f t="shared" si="37"/>
        <v>0.00%</v>
      </c>
      <c r="Q71" s="1240"/>
      <c r="S71" s="83" t="str">
        <f t="shared" si="38"/>
        <v>0.00%</v>
      </c>
      <c r="T71" s="2">
        <f t="shared" si="41"/>
        <v>0</v>
      </c>
      <c r="U71" s="81" t="str">
        <f>TEXT('MYP Assumptions'!H72,"0.00%")&amp;", CPI"</f>
        <v>2.73%, CPI</v>
      </c>
      <c r="W71" s="83" t="str">
        <f t="shared" si="39"/>
        <v>0.00%</v>
      </c>
      <c r="X71" s="2">
        <f t="shared" si="42"/>
        <v>0</v>
      </c>
      <c r="Y71" s="81" t="str">
        <f>TEXT('MYP Assumptions'!I72,"0.00%")&amp;", CPI"</f>
        <v>2.73%, CPI</v>
      </c>
      <c r="AA71" s="83" t="str">
        <f t="shared" si="40"/>
        <v>0.00%</v>
      </c>
      <c r="AB71" s="2">
        <f t="shared" si="43"/>
        <v>0</v>
      </c>
      <c r="AC71" s="81" t="str">
        <f>TEXT('MYP Assumptions'!J72,"0.00%")&amp;", CPI"</f>
        <v>2.73%, CPI</v>
      </c>
    </row>
    <row r="72" spans="1:29" hidden="1" x14ac:dyDescent="0.25">
      <c r="A72" s="153"/>
      <c r="B72" s="1326"/>
      <c r="D72" s="2">
        <v>0</v>
      </c>
      <c r="E72" s="1249"/>
      <c r="F72" s="2"/>
      <c r="G72" s="1527" t="str">
        <f t="shared" si="35"/>
        <v>0.00%</v>
      </c>
      <c r="H72" s="2">
        <f t="shared" ref="H72:H76" si="44">ROUND(D72*(LEFT(I72,5)+1),0)</f>
        <v>0</v>
      </c>
      <c r="I72" s="1240" t="str">
        <f>TEXT('MYP Assumptions'!E72,"0.00%")&amp;", CPI"</f>
        <v>3.11%, CPI</v>
      </c>
      <c r="J72" s="66"/>
      <c r="K72" s="1527" t="str">
        <f t="shared" si="36"/>
        <v>0.00%</v>
      </c>
      <c r="L72" s="2">
        <f t="shared" ref="L72:L81" si="45">ROUND(H72*(LEFT(M72,5)+1),0)</f>
        <v>0</v>
      </c>
      <c r="M72" s="1240" t="str">
        <f>TEXT('MYP Assumptions'!F72,"0.00%")&amp;", CPI"</f>
        <v>3.19%, CPI</v>
      </c>
      <c r="O72" s="1527" t="str">
        <f t="shared" si="37"/>
        <v>0.00%</v>
      </c>
      <c r="P72" s="2">
        <f t="shared" ref="P72:P81" si="46">ROUND(L72*(LEFT(Q72,5)+1),0)</f>
        <v>0</v>
      </c>
      <c r="Q72" s="1240" t="str">
        <f>TEXT('MYP Assumptions'!G72,"0.00%")&amp;", CPI"</f>
        <v>2.86%, CPI</v>
      </c>
      <c r="S72" s="83" t="str">
        <f t="shared" si="38"/>
        <v>0.00%</v>
      </c>
      <c r="T72" s="2">
        <f t="shared" si="41"/>
        <v>0</v>
      </c>
      <c r="U72" s="81" t="str">
        <f>TEXT('MYP Assumptions'!H72,"0.00%")&amp;", CPI"</f>
        <v>2.73%, CPI</v>
      </c>
      <c r="W72" s="83" t="str">
        <f t="shared" si="39"/>
        <v>0.00%</v>
      </c>
      <c r="X72" s="2">
        <f t="shared" si="42"/>
        <v>0</v>
      </c>
      <c r="Y72" s="81" t="str">
        <f>TEXT('MYP Assumptions'!I72,"0.00%")&amp;", CPI"</f>
        <v>2.73%, CPI</v>
      </c>
      <c r="AA72" s="83" t="str">
        <f t="shared" si="40"/>
        <v>0.00%</v>
      </c>
      <c r="AB72" s="2">
        <f t="shared" si="43"/>
        <v>0</v>
      </c>
      <c r="AC72" s="81" t="str">
        <f>TEXT('MYP Assumptions'!J72,"0.00%")&amp;", CPI"</f>
        <v>2.73%, CPI</v>
      </c>
    </row>
    <row r="73" spans="1:29" hidden="1" x14ac:dyDescent="0.25">
      <c r="A73" s="153"/>
      <c r="B73" s="1326"/>
      <c r="D73" s="2">
        <v>0</v>
      </c>
      <c r="E73" s="1249"/>
      <c r="F73" s="2"/>
      <c r="G73" s="1527" t="str">
        <f t="shared" si="35"/>
        <v>0.00%</v>
      </c>
      <c r="H73" s="2">
        <f t="shared" si="44"/>
        <v>0</v>
      </c>
      <c r="I73" s="1240" t="str">
        <f>TEXT('MYP Assumptions'!E72,"0.00%")&amp;", CPI"</f>
        <v>3.11%, CPI</v>
      </c>
      <c r="J73" s="66"/>
      <c r="K73" s="1527" t="str">
        <f t="shared" si="36"/>
        <v>0.00%</v>
      </c>
      <c r="L73" s="2">
        <f t="shared" si="45"/>
        <v>0</v>
      </c>
      <c r="M73" s="1240" t="str">
        <f>TEXT('MYP Assumptions'!F72,"0.00%")&amp;", CPI"</f>
        <v>3.19%, CPI</v>
      </c>
      <c r="O73" s="1527" t="str">
        <f t="shared" si="37"/>
        <v>0.00%</v>
      </c>
      <c r="P73" s="2">
        <f t="shared" si="46"/>
        <v>0</v>
      </c>
      <c r="Q73" s="1240" t="str">
        <f>TEXT('MYP Assumptions'!G72,"0.00%")&amp;", CPI"</f>
        <v>2.86%, CPI</v>
      </c>
      <c r="S73" s="83" t="str">
        <f t="shared" si="38"/>
        <v>0.00%</v>
      </c>
      <c r="T73" s="2">
        <f t="shared" si="41"/>
        <v>0</v>
      </c>
      <c r="U73" s="81" t="str">
        <f>TEXT('MYP Assumptions'!H72,"0.00%")&amp;", CPI"</f>
        <v>2.73%, CPI</v>
      </c>
      <c r="W73" s="83" t="str">
        <f t="shared" si="39"/>
        <v>0.00%</v>
      </c>
      <c r="X73" s="2">
        <f t="shared" si="42"/>
        <v>0</v>
      </c>
      <c r="Y73" s="81" t="str">
        <f>TEXT('MYP Assumptions'!I72,"0.00%")&amp;", CPI"</f>
        <v>2.73%, CPI</v>
      </c>
      <c r="AA73" s="83" t="str">
        <f t="shared" si="40"/>
        <v>0.00%</v>
      </c>
      <c r="AB73" s="2">
        <f t="shared" si="43"/>
        <v>0</v>
      </c>
      <c r="AC73" s="81" t="str">
        <f>TEXT('MYP Assumptions'!J72,"0.00%")&amp;", CPI"</f>
        <v>2.73%, CPI</v>
      </c>
    </row>
    <row r="74" spans="1:29" hidden="1" x14ac:dyDescent="0.25">
      <c r="A74" s="153"/>
      <c r="B74" s="1326"/>
      <c r="D74" s="2">
        <v>0</v>
      </c>
      <c r="E74" s="1249"/>
      <c r="F74" s="2"/>
      <c r="G74" s="1527" t="str">
        <f t="shared" si="35"/>
        <v>0.00%</v>
      </c>
      <c r="H74" s="2">
        <f t="shared" si="44"/>
        <v>0</v>
      </c>
      <c r="I74" s="1240" t="str">
        <f>TEXT('MYP Assumptions'!E72,"0.00%")&amp;", CPI"</f>
        <v>3.11%, CPI</v>
      </c>
      <c r="J74" s="66"/>
      <c r="K74" s="1527" t="str">
        <f t="shared" si="36"/>
        <v>0.00%</v>
      </c>
      <c r="L74" s="2">
        <f t="shared" si="45"/>
        <v>0</v>
      </c>
      <c r="M74" s="1240" t="str">
        <f>TEXT('MYP Assumptions'!F72,"0.00%")&amp;", CPI"</f>
        <v>3.19%, CPI</v>
      </c>
      <c r="O74" s="1527" t="str">
        <f t="shared" si="37"/>
        <v>0.00%</v>
      </c>
      <c r="P74" s="2">
        <f t="shared" si="46"/>
        <v>0</v>
      </c>
      <c r="Q74" s="1240" t="str">
        <f>TEXT('MYP Assumptions'!G72,"0.00%")&amp;", CPI"</f>
        <v>2.86%, CPI</v>
      </c>
      <c r="S74" s="83" t="str">
        <f t="shared" si="38"/>
        <v>0.00%</v>
      </c>
      <c r="T74" s="2">
        <f t="shared" si="41"/>
        <v>0</v>
      </c>
      <c r="U74" s="81" t="str">
        <f>TEXT('MYP Assumptions'!H72,"0.00%")&amp;", CPI"</f>
        <v>2.73%, CPI</v>
      </c>
      <c r="W74" s="83" t="str">
        <f t="shared" si="39"/>
        <v>0.00%</v>
      </c>
      <c r="X74" s="2">
        <f t="shared" si="42"/>
        <v>0</v>
      </c>
      <c r="Y74" s="81" t="str">
        <f>TEXT('MYP Assumptions'!I72,"0.00%")&amp;", CPI"</f>
        <v>2.73%, CPI</v>
      </c>
      <c r="AA74" s="83" t="str">
        <f t="shared" si="40"/>
        <v>0.00%</v>
      </c>
      <c r="AB74" s="2">
        <f t="shared" si="43"/>
        <v>0</v>
      </c>
      <c r="AC74" s="81" t="str">
        <f>TEXT('MYP Assumptions'!J72,"0.00%")&amp;", CPI"</f>
        <v>2.73%, CPI</v>
      </c>
    </row>
    <row r="75" spans="1:29" hidden="1" x14ac:dyDescent="0.25">
      <c r="A75" s="153"/>
      <c r="B75" s="1326"/>
      <c r="D75" s="2">
        <v>0</v>
      </c>
      <c r="E75" s="1249"/>
      <c r="F75" s="2"/>
      <c r="G75" s="1527" t="str">
        <f>IF(D75=0,"0.00%",(H75-D75)/D75)</f>
        <v>0.00%</v>
      </c>
      <c r="H75" s="2">
        <f t="shared" si="44"/>
        <v>0</v>
      </c>
      <c r="I75" s="1240" t="str">
        <f>TEXT('MYP Assumptions'!E72,"0.00%")&amp;", CPI"</f>
        <v>3.11%, CPI</v>
      </c>
      <c r="J75" s="66"/>
      <c r="K75" s="1527" t="str">
        <f t="shared" si="36"/>
        <v>0.00%</v>
      </c>
      <c r="L75" s="2">
        <f t="shared" si="45"/>
        <v>0</v>
      </c>
      <c r="M75" s="1240" t="str">
        <f>TEXT('MYP Assumptions'!F72,"0.00%")&amp;", CPI"</f>
        <v>3.19%, CPI</v>
      </c>
      <c r="O75" s="1527" t="str">
        <f t="shared" si="37"/>
        <v>0.00%</v>
      </c>
      <c r="P75" s="2">
        <f t="shared" si="46"/>
        <v>0</v>
      </c>
      <c r="Q75" s="1240" t="str">
        <f>TEXT('MYP Assumptions'!G72,"0.00%")&amp;", CPI"</f>
        <v>2.86%, CPI</v>
      </c>
      <c r="S75" s="83" t="str">
        <f t="shared" si="38"/>
        <v>0.00%</v>
      </c>
      <c r="T75" s="2">
        <f t="shared" si="41"/>
        <v>0</v>
      </c>
      <c r="U75" s="81" t="str">
        <f>TEXT('MYP Assumptions'!H72,"0.00%")&amp;", CPI"</f>
        <v>2.73%, CPI</v>
      </c>
      <c r="W75" s="83" t="str">
        <f t="shared" si="39"/>
        <v>0.00%</v>
      </c>
      <c r="X75" s="2">
        <f t="shared" si="42"/>
        <v>0</v>
      </c>
      <c r="Y75" s="81" t="str">
        <f>TEXT('MYP Assumptions'!I72,"0.00%")&amp;", CPI"</f>
        <v>2.73%, CPI</v>
      </c>
      <c r="AA75" s="83" t="str">
        <f t="shared" si="40"/>
        <v>0.00%</v>
      </c>
      <c r="AB75" s="2">
        <f t="shared" si="43"/>
        <v>0</v>
      </c>
      <c r="AC75" s="81" t="str">
        <f>TEXT('MYP Assumptions'!J72,"0.00%")&amp;", CPI"</f>
        <v>2.73%, CPI</v>
      </c>
    </row>
    <row r="76" spans="1:29" hidden="1" x14ac:dyDescent="0.25">
      <c r="A76" s="153"/>
      <c r="B76" s="1326"/>
      <c r="D76" s="2">
        <v>0</v>
      </c>
      <c r="E76" s="1249"/>
      <c r="F76" s="2"/>
      <c r="G76" s="1527" t="str">
        <f t="shared" ref="G76:G82" si="47">IF(D76=0,"0.00%",(H76-D76)/D76)</f>
        <v>0.00%</v>
      </c>
      <c r="H76" s="2">
        <f t="shared" si="44"/>
        <v>0</v>
      </c>
      <c r="I76" s="1240" t="str">
        <f>TEXT('MYP Assumptions'!E72,"0.00%")&amp;", CPI"</f>
        <v>3.11%, CPI</v>
      </c>
      <c r="J76" s="66"/>
      <c r="K76" s="1527" t="str">
        <f t="shared" si="36"/>
        <v>0.00%</v>
      </c>
      <c r="L76" s="2">
        <f t="shared" si="45"/>
        <v>0</v>
      </c>
      <c r="M76" s="1240" t="str">
        <f>TEXT('MYP Assumptions'!F72,"0.00%")&amp;", CPI"</f>
        <v>3.19%, CPI</v>
      </c>
      <c r="O76" s="1527" t="str">
        <f t="shared" si="37"/>
        <v>0.00%</v>
      </c>
      <c r="P76" s="2">
        <f t="shared" si="46"/>
        <v>0</v>
      </c>
      <c r="Q76" s="1240" t="str">
        <f>TEXT('MYP Assumptions'!G72,"0.00%")&amp;", CPI"</f>
        <v>2.86%, CPI</v>
      </c>
      <c r="S76" s="83" t="str">
        <f t="shared" si="38"/>
        <v>0.00%</v>
      </c>
      <c r="T76" s="2">
        <f t="shared" si="41"/>
        <v>0</v>
      </c>
      <c r="U76" s="81" t="str">
        <f>TEXT('MYP Assumptions'!H72,"0.00%")&amp;", CPI"</f>
        <v>2.73%, CPI</v>
      </c>
      <c r="W76" s="83" t="str">
        <f t="shared" si="39"/>
        <v>0.00%</v>
      </c>
      <c r="X76" s="2">
        <f t="shared" si="42"/>
        <v>0</v>
      </c>
      <c r="Y76" s="81" t="str">
        <f>TEXT('MYP Assumptions'!I72,"0.00%")&amp;", CPI"</f>
        <v>2.73%, CPI</v>
      </c>
      <c r="AA76" s="83" t="str">
        <f t="shared" si="40"/>
        <v>0.00%</v>
      </c>
      <c r="AB76" s="2">
        <f t="shared" si="43"/>
        <v>0</v>
      </c>
      <c r="AC76" s="81" t="str">
        <f>TEXT('MYP Assumptions'!J72,"0.00%")&amp;", CPI"</f>
        <v>2.73%, CPI</v>
      </c>
    </row>
    <row r="77" spans="1:29" hidden="1" x14ac:dyDescent="0.25">
      <c r="A77" s="153"/>
      <c r="B77" s="1326"/>
      <c r="D77" s="2">
        <v>0</v>
      </c>
      <c r="E77" s="1249"/>
      <c r="F77" s="2"/>
      <c r="G77" s="1527" t="str">
        <f t="shared" si="47"/>
        <v>0.00%</v>
      </c>
      <c r="H77" s="2">
        <f>ROUND(D77*(LEFT(I77,5)+1),0)</f>
        <v>0</v>
      </c>
      <c r="I77" s="1240" t="str">
        <f>TEXT('MYP Assumptions'!E72,"0.00%")&amp;", CPI"</f>
        <v>3.11%, CPI</v>
      </c>
      <c r="J77" s="66"/>
      <c r="K77" s="1527" t="str">
        <f t="shared" si="36"/>
        <v>0.00%</v>
      </c>
      <c r="L77" s="2">
        <f t="shared" si="45"/>
        <v>0</v>
      </c>
      <c r="M77" s="1240" t="str">
        <f>TEXT('MYP Assumptions'!F72,"0.00%")&amp;", CPI"</f>
        <v>3.19%, CPI</v>
      </c>
      <c r="O77" s="1527" t="str">
        <f t="shared" si="37"/>
        <v>0.00%</v>
      </c>
      <c r="P77" s="2">
        <f t="shared" si="46"/>
        <v>0</v>
      </c>
      <c r="Q77" s="1240" t="str">
        <f>TEXT('MYP Assumptions'!G72,"0.00%")&amp;", CPI"</f>
        <v>2.86%, CPI</v>
      </c>
      <c r="S77" s="83" t="str">
        <f t="shared" si="38"/>
        <v>0.00%</v>
      </c>
      <c r="T77" s="2">
        <f t="shared" si="41"/>
        <v>0</v>
      </c>
      <c r="U77" s="81" t="str">
        <f>TEXT('MYP Assumptions'!H72,"0.00%")&amp;", CPI"</f>
        <v>2.73%, CPI</v>
      </c>
      <c r="W77" s="83" t="str">
        <f t="shared" si="39"/>
        <v>0.00%</v>
      </c>
      <c r="X77" s="2">
        <f t="shared" si="42"/>
        <v>0</v>
      </c>
      <c r="Y77" s="81" t="str">
        <f>TEXT('MYP Assumptions'!I72,"0.00%")&amp;", CPI"</f>
        <v>2.73%, CPI</v>
      </c>
      <c r="AA77" s="83" t="str">
        <f t="shared" si="40"/>
        <v>0.00%</v>
      </c>
      <c r="AB77" s="2">
        <f t="shared" si="43"/>
        <v>0</v>
      </c>
      <c r="AC77" s="81" t="str">
        <f>TEXT('MYP Assumptions'!J72,"0.00%")&amp;", CPI"</f>
        <v>2.73%, CPI</v>
      </c>
    </row>
    <row r="78" spans="1:29" hidden="1" x14ac:dyDescent="0.25">
      <c r="A78" s="153"/>
      <c r="B78" s="1326"/>
      <c r="D78" s="2">
        <v>0</v>
      </c>
      <c r="E78" s="1249"/>
      <c r="F78" s="2"/>
      <c r="G78" s="1527" t="str">
        <f t="shared" si="47"/>
        <v>0.00%</v>
      </c>
      <c r="H78" s="2">
        <f>ROUND(D78*(LEFT(I78,5)+1),0)</f>
        <v>0</v>
      </c>
      <c r="I78" s="1240" t="str">
        <f>TEXT('MYP Assumptions'!E72,"0.00%")&amp;", CPI"</f>
        <v>3.11%, CPI</v>
      </c>
      <c r="J78" s="66"/>
      <c r="K78" s="1527" t="str">
        <f t="shared" si="36"/>
        <v>0.00%</v>
      </c>
      <c r="L78" s="2">
        <f t="shared" si="45"/>
        <v>0</v>
      </c>
      <c r="M78" s="1240" t="str">
        <f>TEXT('MYP Assumptions'!F72,"0.00%")&amp;", CPI"</f>
        <v>3.19%, CPI</v>
      </c>
      <c r="O78" s="1527" t="str">
        <f t="shared" si="37"/>
        <v>0.00%</v>
      </c>
      <c r="P78" s="2">
        <f t="shared" si="46"/>
        <v>0</v>
      </c>
      <c r="Q78" s="1240" t="str">
        <f>TEXT('MYP Assumptions'!G72,"0.00%")&amp;", CPI"</f>
        <v>2.86%, CPI</v>
      </c>
      <c r="S78" s="83" t="str">
        <f t="shared" si="38"/>
        <v>0.00%</v>
      </c>
      <c r="T78" s="2">
        <f t="shared" si="41"/>
        <v>0</v>
      </c>
      <c r="U78" s="81" t="str">
        <f>TEXT('MYP Assumptions'!H72,"0.00%")&amp;", CPI"</f>
        <v>2.73%, CPI</v>
      </c>
      <c r="W78" s="83" t="str">
        <f t="shared" si="39"/>
        <v>0.00%</v>
      </c>
      <c r="X78" s="2">
        <f t="shared" si="42"/>
        <v>0</v>
      </c>
      <c r="Y78" s="81" t="str">
        <f>TEXT('MYP Assumptions'!I72,"0.00%")&amp;", CPI"</f>
        <v>2.73%, CPI</v>
      </c>
      <c r="AA78" s="83" t="str">
        <f t="shared" si="40"/>
        <v>0.00%</v>
      </c>
      <c r="AB78" s="2">
        <f t="shared" si="43"/>
        <v>0</v>
      </c>
      <c r="AC78" s="81" t="str">
        <f>TEXT('MYP Assumptions'!J72,"0.00%")&amp;", CPI"</f>
        <v>2.73%, CPI</v>
      </c>
    </row>
    <row r="79" spans="1:29" hidden="1" x14ac:dyDescent="0.25">
      <c r="A79" s="153"/>
      <c r="B79" s="1326"/>
      <c r="D79" s="2">
        <v>0</v>
      </c>
      <c r="E79" s="1249"/>
      <c r="F79" s="2"/>
      <c r="G79" s="1527" t="str">
        <f t="shared" si="47"/>
        <v>0.00%</v>
      </c>
      <c r="H79" s="2">
        <f>ROUND(D79*(LEFT(I79,5)+1),0)</f>
        <v>0</v>
      </c>
      <c r="I79" s="1240" t="str">
        <f>TEXT('MYP Assumptions'!E72,"0.00%")&amp;", CPI"</f>
        <v>3.11%, CPI</v>
      </c>
      <c r="J79" s="66"/>
      <c r="K79" s="1527" t="str">
        <f t="shared" si="36"/>
        <v>0.00%</v>
      </c>
      <c r="L79" s="2">
        <f t="shared" si="45"/>
        <v>0</v>
      </c>
      <c r="M79" s="1240" t="str">
        <f>TEXT('MYP Assumptions'!F72,"0.00%")&amp;", CPI"</f>
        <v>3.19%, CPI</v>
      </c>
      <c r="O79" s="1527" t="str">
        <f t="shared" si="37"/>
        <v>0.00%</v>
      </c>
      <c r="P79" s="2">
        <f t="shared" si="46"/>
        <v>0</v>
      </c>
      <c r="Q79" s="1240" t="str">
        <f>TEXT('MYP Assumptions'!G72,"0.00%")&amp;", CPI"</f>
        <v>2.86%, CPI</v>
      </c>
      <c r="S79" s="83" t="str">
        <f t="shared" si="38"/>
        <v>0.00%</v>
      </c>
      <c r="T79" s="2">
        <f t="shared" si="41"/>
        <v>0</v>
      </c>
      <c r="U79" s="81" t="str">
        <f>TEXT('MYP Assumptions'!H72,"0.00%")&amp;", CPI"</f>
        <v>2.73%, CPI</v>
      </c>
      <c r="W79" s="83" t="str">
        <f t="shared" si="39"/>
        <v>0.00%</v>
      </c>
      <c r="X79" s="2">
        <f t="shared" si="42"/>
        <v>0</v>
      </c>
      <c r="Y79" s="81" t="str">
        <f>TEXT('MYP Assumptions'!I72,"0.00%")&amp;", CPI"</f>
        <v>2.73%, CPI</v>
      </c>
      <c r="AA79" s="83" t="str">
        <f t="shared" si="40"/>
        <v>0.00%</v>
      </c>
      <c r="AB79" s="2">
        <f t="shared" si="43"/>
        <v>0</v>
      </c>
      <c r="AC79" s="81" t="str">
        <f>TEXT('MYP Assumptions'!J72,"0.00%")&amp;", CPI"</f>
        <v>2.73%, CPI</v>
      </c>
    </row>
    <row r="80" spans="1:29" hidden="1" x14ac:dyDescent="0.25">
      <c r="A80" s="153"/>
      <c r="B80" s="1326"/>
      <c r="D80" s="2">
        <v>0</v>
      </c>
      <c r="E80" s="1249"/>
      <c r="F80" s="2"/>
      <c r="G80" s="1527" t="str">
        <f t="shared" si="47"/>
        <v>0.00%</v>
      </c>
      <c r="H80" s="2">
        <f>ROUND(D80*(LEFT(I80,5)+1),0)</f>
        <v>0</v>
      </c>
      <c r="I80" s="1240" t="str">
        <f>TEXT('MYP Assumptions'!E72,"0.00%")&amp;", CPI"</f>
        <v>3.11%, CPI</v>
      </c>
      <c r="J80" s="66"/>
      <c r="K80" s="1527" t="str">
        <f t="shared" si="36"/>
        <v>0.00%</v>
      </c>
      <c r="L80" s="2">
        <f t="shared" si="45"/>
        <v>0</v>
      </c>
      <c r="M80" s="1240" t="str">
        <f>TEXT('MYP Assumptions'!F72,"0.00%")&amp;", CPI"</f>
        <v>3.19%, CPI</v>
      </c>
      <c r="O80" s="1527" t="str">
        <f t="shared" si="37"/>
        <v>0.00%</v>
      </c>
      <c r="P80" s="2">
        <f t="shared" si="46"/>
        <v>0</v>
      </c>
      <c r="Q80" s="1240" t="str">
        <f>TEXT('MYP Assumptions'!G72,"0.00%")&amp;", CPI"</f>
        <v>2.86%, CPI</v>
      </c>
      <c r="S80" s="83" t="str">
        <f t="shared" si="38"/>
        <v>0.00%</v>
      </c>
      <c r="T80" s="2">
        <f t="shared" si="41"/>
        <v>0</v>
      </c>
      <c r="U80" s="81" t="str">
        <f>TEXT('MYP Assumptions'!H72,"0.00%")&amp;", CPI"</f>
        <v>2.73%, CPI</v>
      </c>
      <c r="W80" s="83" t="str">
        <f t="shared" si="39"/>
        <v>0.00%</v>
      </c>
      <c r="X80" s="2">
        <f t="shared" si="42"/>
        <v>0</v>
      </c>
      <c r="Y80" s="81" t="str">
        <f>TEXT('MYP Assumptions'!I72,"0.00%")&amp;", CPI"</f>
        <v>2.73%, CPI</v>
      </c>
      <c r="AA80" s="83" t="str">
        <f t="shared" si="40"/>
        <v>0.00%</v>
      </c>
      <c r="AB80" s="2">
        <f t="shared" si="43"/>
        <v>0</v>
      </c>
      <c r="AC80" s="81" t="str">
        <f>TEXT('MYP Assumptions'!J72,"0.00%")&amp;", CPI"</f>
        <v>2.73%, CPI</v>
      </c>
    </row>
    <row r="81" spans="1:29" hidden="1" x14ac:dyDescent="0.25">
      <c r="A81" s="153"/>
      <c r="B81" s="1326"/>
      <c r="D81" s="2">
        <f>'RS 3010-ALL'!AF80</f>
        <v>0</v>
      </c>
      <c r="E81" s="1249"/>
      <c r="F81" s="2"/>
      <c r="G81" s="1527" t="str">
        <f t="shared" si="47"/>
        <v>0.00%</v>
      </c>
      <c r="H81" s="2">
        <f>ROUND(D81*(LEFT(I81,5)+1),0)</f>
        <v>0</v>
      </c>
      <c r="I81" s="1240" t="str">
        <f>TEXT('MYP Assumptions'!E72,"0.00%")&amp;", CPI"</f>
        <v>3.11%, CPI</v>
      </c>
      <c r="J81" s="66"/>
      <c r="K81" s="1527" t="str">
        <f t="shared" si="36"/>
        <v>0.00%</v>
      </c>
      <c r="L81" s="2">
        <f t="shared" si="45"/>
        <v>0</v>
      </c>
      <c r="M81" s="1240" t="str">
        <f>TEXT('MYP Assumptions'!F72,"0.00%")&amp;", CPI"</f>
        <v>3.19%, CPI</v>
      </c>
      <c r="O81" s="1527" t="str">
        <f t="shared" si="37"/>
        <v>0.00%</v>
      </c>
      <c r="P81" s="2">
        <f t="shared" si="46"/>
        <v>0</v>
      </c>
      <c r="Q81" s="1240" t="str">
        <f>TEXT('MYP Assumptions'!G72,"0.00%")&amp;", CPI"</f>
        <v>2.86%, CPI</v>
      </c>
      <c r="S81" s="83" t="str">
        <f t="shared" si="38"/>
        <v>0.00%</v>
      </c>
      <c r="T81" s="2">
        <f t="shared" si="41"/>
        <v>0</v>
      </c>
      <c r="U81" s="81" t="str">
        <f>TEXT('MYP Assumptions'!H72,"0.00%")&amp;", CPI"</f>
        <v>2.73%, CPI</v>
      </c>
      <c r="W81" s="83" t="str">
        <f t="shared" si="39"/>
        <v>0.00%</v>
      </c>
      <c r="X81" s="2">
        <f t="shared" si="42"/>
        <v>0</v>
      </c>
      <c r="Y81" s="81" t="str">
        <f>TEXT('MYP Assumptions'!I72,"0.00%")&amp;", CPI"</f>
        <v>2.73%, CPI</v>
      </c>
      <c r="AA81" s="83" t="str">
        <f t="shared" si="40"/>
        <v>0.00%</v>
      </c>
      <c r="AB81" s="2">
        <f t="shared" si="43"/>
        <v>0</v>
      </c>
      <c r="AC81" s="81" t="str">
        <f>TEXT('MYP Assumptions'!J72,"0.00%")&amp;", CPI"</f>
        <v>2.73%, CPI</v>
      </c>
    </row>
    <row r="82" spans="1:29" x14ac:dyDescent="0.25">
      <c r="A82" s="154"/>
      <c r="D82" s="8">
        <f>SUM(D69:D81)</f>
        <v>108900</v>
      </c>
      <c r="E82" s="1249"/>
      <c r="F82" s="2"/>
      <c r="G82" s="1527">
        <f t="shared" si="47"/>
        <v>2.0323691460055096</v>
      </c>
      <c r="H82" s="8">
        <f>SUM(H69:H81)</f>
        <v>330225</v>
      </c>
      <c r="I82" s="1882">
        <f>+H82-D82</f>
        <v>221325</v>
      </c>
      <c r="J82" s="29"/>
      <c r="K82" s="1527">
        <f t="shared" si="36"/>
        <v>-0.69717616776440305</v>
      </c>
      <c r="L82" s="8">
        <f>SUM(L69:L81)</f>
        <v>100000</v>
      </c>
      <c r="M82" s="1882">
        <f>+L82-H82</f>
        <v>-230225</v>
      </c>
      <c r="O82" s="1527">
        <f t="shared" si="37"/>
        <v>-0.5</v>
      </c>
      <c r="P82" s="8">
        <f>SUM(P69:P81)</f>
        <v>50000</v>
      </c>
      <c r="Q82" s="1882">
        <f>+P82-L82</f>
        <v>-50000</v>
      </c>
      <c r="S82" s="83">
        <f t="shared" si="38"/>
        <v>2.7300000000000001E-2</v>
      </c>
      <c r="T82" s="8">
        <f>SUM(T69:T81)</f>
        <v>51365</v>
      </c>
      <c r="U82" s="73"/>
      <c r="W82" s="83">
        <f t="shared" si="39"/>
        <v>2.7294850579188162E-2</v>
      </c>
      <c r="X82" s="8">
        <f>SUM(X69:X81)</f>
        <v>52767</v>
      </c>
      <c r="Y82" s="73"/>
      <c r="AA82" s="83">
        <f t="shared" si="40"/>
        <v>2.7308734625807796E-2</v>
      </c>
      <c r="AB82" s="8">
        <f>SUM(AB69:AB81)</f>
        <v>54208</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B84" s="1323" t="s">
        <v>342</v>
      </c>
      <c r="E84" s="1249"/>
      <c r="F84" s="2"/>
      <c r="G84" s="1527"/>
      <c r="H84" s="2"/>
      <c r="I84" s="1257"/>
      <c r="J84" s="66"/>
      <c r="L84" s="2"/>
      <c r="M84" s="1335"/>
      <c r="Q84" s="1335"/>
      <c r="T84" s="2"/>
      <c r="U84" s="73"/>
      <c r="X84" s="2"/>
      <c r="Y84" s="73"/>
      <c r="AB84" s="2"/>
      <c r="AC84" s="73"/>
    </row>
    <row r="85" spans="1:29" x14ac:dyDescent="0.25">
      <c r="A85" s="153"/>
      <c r="B85" s="1317" t="s">
        <v>356</v>
      </c>
      <c r="C85" s="1325" t="s">
        <v>342</v>
      </c>
      <c r="D85" s="2">
        <v>0</v>
      </c>
      <c r="E85" s="1249"/>
      <c r="F85" s="2"/>
      <c r="G85" s="1527" t="str">
        <f t="shared" ref="G85:G93" si="48">IF(D85=0,"0.00%",(H85-D85)/D85)</f>
        <v>0.00%</v>
      </c>
      <c r="H85" s="2">
        <v>0</v>
      </c>
      <c r="I85" s="1257"/>
      <c r="J85" s="66"/>
      <c r="K85" s="1527">
        <f>IF(H96=0,"0.00%",(L85-H96)/H96)</f>
        <v>-0.93265095278697097</v>
      </c>
      <c r="L85" s="2">
        <v>200000</v>
      </c>
      <c r="M85" s="1335"/>
      <c r="O85" s="1527">
        <f>IF(L96=0,"0.00%",(P85-L96)/L96)</f>
        <v>-0.25</v>
      </c>
      <c r="P85" s="2">
        <v>150000</v>
      </c>
      <c r="Q85" s="1335"/>
      <c r="T85" s="2">
        <v>0</v>
      </c>
      <c r="U85" s="73"/>
      <c r="X85" s="2">
        <v>0</v>
      </c>
      <c r="Y85" s="73"/>
      <c r="AB85" s="2">
        <v>0</v>
      </c>
      <c r="AC85" s="73"/>
    </row>
    <row r="86" spans="1:29" x14ac:dyDescent="0.25">
      <c r="A86" s="153"/>
      <c r="B86" s="1326">
        <v>6157</v>
      </c>
      <c r="C86" s="1243" t="s">
        <v>349</v>
      </c>
      <c r="D86" s="2">
        <v>24500</v>
      </c>
      <c r="E86" s="1249"/>
      <c r="F86" s="2"/>
      <c r="G86" s="1527">
        <f t="shared" si="48"/>
        <v>-1</v>
      </c>
      <c r="H86" s="2">
        <v>0</v>
      </c>
      <c r="I86" s="1257"/>
      <c r="J86" s="66"/>
      <c r="L86" s="2">
        <v>0</v>
      </c>
      <c r="M86" s="1335"/>
      <c r="P86" s="2">
        <v>0</v>
      </c>
      <c r="Q86" s="1335"/>
      <c r="T86" s="2">
        <v>0</v>
      </c>
      <c r="U86" s="73"/>
      <c r="X86" s="2">
        <v>0</v>
      </c>
      <c r="Y86" s="73"/>
      <c r="AB86" s="2">
        <v>0</v>
      </c>
      <c r="AC86" s="73"/>
    </row>
    <row r="87" spans="1:29" x14ac:dyDescent="0.25">
      <c r="A87" s="153"/>
      <c r="B87" s="1326">
        <v>6210</v>
      </c>
      <c r="C87" s="1243" t="s">
        <v>339</v>
      </c>
      <c r="D87" s="2">
        <v>165231</v>
      </c>
      <c r="E87" s="1249"/>
      <c r="F87" s="2"/>
      <c r="G87" s="1527">
        <f t="shared" si="48"/>
        <v>-0.49283124837348924</v>
      </c>
      <c r="H87" s="2">
        <v>83800</v>
      </c>
      <c r="I87" s="1257"/>
      <c r="J87" s="66"/>
      <c r="L87" s="2">
        <v>0</v>
      </c>
      <c r="M87" s="1335"/>
      <c r="P87" s="2">
        <v>0</v>
      </c>
      <c r="Q87" s="1335"/>
      <c r="T87" s="2">
        <v>0</v>
      </c>
      <c r="U87" s="73"/>
      <c r="X87" s="2">
        <v>0</v>
      </c>
      <c r="Y87" s="73"/>
      <c r="AB87" s="2">
        <v>0</v>
      </c>
      <c r="AC87" s="73"/>
    </row>
    <row r="88" spans="1:29" x14ac:dyDescent="0.25">
      <c r="A88" s="153"/>
      <c r="B88" s="1326">
        <v>6220</v>
      </c>
      <c r="C88" s="1243" t="s">
        <v>350</v>
      </c>
      <c r="D88" s="2">
        <v>16769</v>
      </c>
      <c r="E88" s="1249"/>
      <c r="F88" s="2"/>
      <c r="G88" s="1527">
        <f t="shared" si="48"/>
        <v>1.2660862305444571</v>
      </c>
      <c r="H88" s="2">
        <v>38000</v>
      </c>
      <c r="I88" s="1257"/>
      <c r="J88" s="66"/>
      <c r="L88" s="2">
        <v>0</v>
      </c>
      <c r="M88" s="1335"/>
      <c r="P88" s="2">
        <v>0</v>
      </c>
      <c r="Q88" s="1335"/>
      <c r="T88" s="2">
        <v>0</v>
      </c>
      <c r="U88" s="73"/>
      <c r="X88" s="2">
        <v>0</v>
      </c>
      <c r="Y88" s="73"/>
      <c r="AB88" s="2">
        <v>0</v>
      </c>
      <c r="AC88" s="73"/>
    </row>
    <row r="89" spans="1:29" x14ac:dyDescent="0.25">
      <c r="A89" s="153"/>
      <c r="B89" s="1326">
        <v>6270</v>
      </c>
      <c r="C89" s="1243" t="s">
        <v>351</v>
      </c>
      <c r="D89" s="2">
        <v>1082444</v>
      </c>
      <c r="E89" s="1249"/>
      <c r="F89" s="2"/>
      <c r="G89" s="1527">
        <f t="shared" si="48"/>
        <v>1.427699723958006</v>
      </c>
      <c r="H89" s="2">
        <v>2627849</v>
      </c>
      <c r="I89" s="1257"/>
      <c r="J89" s="66"/>
      <c r="L89" s="2">
        <v>0</v>
      </c>
      <c r="M89" s="1335"/>
      <c r="P89" s="2">
        <v>0</v>
      </c>
      <c r="Q89" s="1335"/>
      <c r="T89" s="2">
        <v>0</v>
      </c>
      <c r="U89" s="73"/>
      <c r="X89" s="2">
        <v>0</v>
      </c>
      <c r="Y89" s="73"/>
      <c r="AB89" s="2">
        <v>0</v>
      </c>
      <c r="AC89" s="73"/>
    </row>
    <row r="90" spans="1:29" x14ac:dyDescent="0.25">
      <c r="A90" s="153"/>
      <c r="B90" s="1326">
        <v>6275</v>
      </c>
      <c r="C90" s="1243" t="s">
        <v>352</v>
      </c>
      <c r="D90" s="2">
        <v>93800</v>
      </c>
      <c r="E90" s="1249"/>
      <c r="F90" s="2"/>
      <c r="G90" s="1527">
        <f t="shared" si="48"/>
        <v>-0.57356076759061836</v>
      </c>
      <c r="H90" s="2">
        <v>40000</v>
      </c>
      <c r="I90" s="1257"/>
      <c r="J90" s="66"/>
      <c r="L90" s="2">
        <v>0</v>
      </c>
      <c r="M90" s="1335"/>
      <c r="P90" s="2">
        <v>0</v>
      </c>
      <c r="Q90" s="1335"/>
      <c r="T90" s="2">
        <v>0</v>
      </c>
      <c r="U90" s="73"/>
      <c r="X90" s="2">
        <v>0</v>
      </c>
      <c r="Y90" s="73"/>
      <c r="AB90" s="2">
        <v>0</v>
      </c>
      <c r="AC90" s="73"/>
    </row>
    <row r="91" spans="1:29" x14ac:dyDescent="0.25">
      <c r="A91" s="153"/>
      <c r="B91" s="1326">
        <v>6279</v>
      </c>
      <c r="C91" s="1243" t="s">
        <v>353</v>
      </c>
      <c r="D91" s="2">
        <v>15720</v>
      </c>
      <c r="E91" s="1249"/>
      <c r="F91" s="2"/>
      <c r="G91" s="1527">
        <f t="shared" si="48"/>
        <v>-0.80916030534351147</v>
      </c>
      <c r="H91" s="2">
        <v>3000</v>
      </c>
      <c r="I91" s="1257"/>
      <c r="J91" s="66"/>
      <c r="L91" s="2">
        <v>0</v>
      </c>
      <c r="M91" s="1335"/>
      <c r="P91" s="2">
        <v>0</v>
      </c>
      <c r="Q91" s="1335"/>
      <c r="T91" s="2">
        <v>0</v>
      </c>
      <c r="U91" s="73"/>
      <c r="X91" s="2">
        <v>0</v>
      </c>
      <c r="Y91" s="73"/>
      <c r="AB91" s="2">
        <v>0</v>
      </c>
      <c r="AC91" s="73"/>
    </row>
    <row r="92" spans="1:29" x14ac:dyDescent="0.25">
      <c r="A92" s="153"/>
      <c r="B92" s="1326">
        <v>6280</v>
      </c>
      <c r="C92" s="1243" t="s">
        <v>354</v>
      </c>
      <c r="D92" s="2">
        <v>6000</v>
      </c>
      <c r="E92" s="1249"/>
      <c r="F92" s="2"/>
      <c r="G92" s="1527">
        <f t="shared" si="48"/>
        <v>2.8333333333333335</v>
      </c>
      <c r="H92" s="2">
        <v>23000</v>
      </c>
      <c r="I92" s="1257"/>
      <c r="J92" s="66"/>
      <c r="L92" s="2">
        <v>0</v>
      </c>
      <c r="M92" s="1335"/>
      <c r="P92" s="2">
        <v>0</v>
      </c>
      <c r="Q92" s="1335"/>
      <c r="T92" s="2">
        <v>0</v>
      </c>
      <c r="U92" s="73"/>
      <c r="X92" s="2">
        <v>0</v>
      </c>
      <c r="Y92" s="73"/>
      <c r="AB92" s="2">
        <v>0</v>
      </c>
      <c r="AC92" s="73"/>
    </row>
    <row r="93" spans="1:29" x14ac:dyDescent="0.25">
      <c r="A93" s="153"/>
      <c r="B93" s="1326">
        <v>6290</v>
      </c>
      <c r="C93" s="1243" t="s">
        <v>355</v>
      </c>
      <c r="D93" s="2">
        <v>60000</v>
      </c>
      <c r="E93" s="1249"/>
      <c r="F93" s="2"/>
      <c r="G93" s="1527">
        <f t="shared" si="48"/>
        <v>1.5659166666666666</v>
      </c>
      <c r="H93" s="2">
        <v>153955</v>
      </c>
      <c r="I93" s="1257"/>
      <c r="J93" s="66"/>
      <c r="L93" s="2">
        <v>0</v>
      </c>
      <c r="M93" s="1335"/>
      <c r="P93" s="2">
        <v>0</v>
      </c>
      <c r="Q93" s="1335"/>
      <c r="T93" s="2">
        <v>0</v>
      </c>
      <c r="U93" s="73"/>
      <c r="X93" s="2">
        <v>0</v>
      </c>
      <c r="Y93" s="73"/>
      <c r="AB93" s="2">
        <v>0</v>
      </c>
      <c r="AC93" s="73"/>
    </row>
    <row r="94" spans="1:29" hidden="1" x14ac:dyDescent="0.25">
      <c r="A94" s="153"/>
      <c r="B94" s="1326"/>
      <c r="D94" s="2">
        <v>0</v>
      </c>
      <c r="E94" s="1249"/>
      <c r="F94" s="2"/>
      <c r="G94" s="1527"/>
      <c r="H94" s="2">
        <v>0</v>
      </c>
      <c r="I94" s="1257"/>
      <c r="J94" s="66"/>
      <c r="L94" s="2">
        <v>0</v>
      </c>
      <c r="M94" s="1335"/>
      <c r="P94" s="2">
        <v>0</v>
      </c>
      <c r="Q94" s="1335"/>
      <c r="T94" s="2">
        <v>0</v>
      </c>
      <c r="U94" s="73"/>
      <c r="X94" s="2">
        <v>0</v>
      </c>
      <c r="Y94" s="73"/>
      <c r="AB94" s="2">
        <v>0</v>
      </c>
      <c r="AC94" s="73"/>
    </row>
    <row r="95" spans="1:29" x14ac:dyDescent="0.25">
      <c r="A95" s="153"/>
      <c r="B95" s="1323"/>
      <c r="G95" s="1550"/>
      <c r="H95" s="2"/>
      <c r="I95" s="1257"/>
      <c r="J95" s="66"/>
      <c r="L95" s="2"/>
      <c r="M95" s="1335"/>
      <c r="Q95" s="1335"/>
      <c r="T95" s="2"/>
      <c r="U95" s="73"/>
      <c r="X95" s="2"/>
      <c r="Y95" s="73"/>
      <c r="AB95" s="2"/>
      <c r="AC95" s="73"/>
    </row>
    <row r="96" spans="1:29" x14ac:dyDescent="0.25">
      <c r="A96" s="153"/>
      <c r="D96" s="161">
        <f>SUM(D85:D95)</f>
        <v>1464464</v>
      </c>
      <c r="E96" s="1247"/>
      <c r="F96" s="10"/>
      <c r="G96" s="1551"/>
      <c r="H96" s="161">
        <f>SUM(H85:H95)</f>
        <v>2969604</v>
      </c>
      <c r="I96" s="1882">
        <f>+H96-D96</f>
        <v>1505140</v>
      </c>
      <c r="J96" s="57"/>
      <c r="K96" s="1570"/>
      <c r="L96" s="161">
        <f>SUM(L85:L95)</f>
        <v>200000</v>
      </c>
      <c r="M96" s="1882">
        <f>+L96-H96</f>
        <v>-2769604</v>
      </c>
      <c r="N96" s="13"/>
      <c r="O96" s="1570"/>
      <c r="P96" s="161">
        <f>SUM(P85:P95)</f>
        <v>150000</v>
      </c>
      <c r="Q96" s="1882">
        <f>+P96-L96</f>
        <v>-50000</v>
      </c>
      <c r="T96" s="112">
        <f>SUM(T85:T95)</f>
        <v>0</v>
      </c>
      <c r="U96" s="73"/>
      <c r="X96" s="112">
        <f>SUM(X85:X95)</f>
        <v>0</v>
      </c>
      <c r="Y96" s="73"/>
      <c r="AB96" s="112">
        <f>SUM(AB85:AB95)</f>
        <v>0</v>
      </c>
      <c r="AC96" s="73"/>
    </row>
    <row r="97" spans="1:29" x14ac:dyDescent="0.25">
      <c r="A97" s="153"/>
      <c r="E97" s="1249"/>
      <c r="F97" s="2"/>
      <c r="H97" s="2"/>
      <c r="I97" s="1257"/>
      <c r="J97" s="66"/>
      <c r="L97" s="2"/>
      <c r="M97" s="1335"/>
      <c r="Q97" s="1335"/>
      <c r="T97" s="2"/>
      <c r="U97" s="73"/>
      <c r="X97" s="2"/>
      <c r="Y97" s="73"/>
      <c r="AB97" s="2"/>
      <c r="AC97" s="73"/>
    </row>
    <row r="98" spans="1:29" x14ac:dyDescent="0.25">
      <c r="A98" s="153"/>
      <c r="E98" s="1249"/>
      <c r="F98" s="2"/>
      <c r="H98" s="2"/>
      <c r="I98" s="1257"/>
      <c r="J98" s="66"/>
      <c r="L98" s="2"/>
      <c r="M98" s="1335"/>
      <c r="Q98" s="1335"/>
      <c r="T98" s="2"/>
      <c r="U98" s="73"/>
      <c r="X98" s="2"/>
      <c r="Y98" s="73"/>
      <c r="AB98" s="2"/>
      <c r="AC98" s="73"/>
    </row>
    <row r="99" spans="1:29" x14ac:dyDescent="0.25">
      <c r="A99" s="154"/>
      <c r="B99" s="1323" t="s">
        <v>0</v>
      </c>
      <c r="D99" s="8">
        <f>SUM(D82,D66,D55,D13+D96)</f>
        <v>1573364</v>
      </c>
      <c r="E99" s="1249"/>
      <c r="F99" s="2"/>
      <c r="G99" s="1527">
        <f>IF(D99=0,"0.00%",(H99-D99)/D99)</f>
        <v>1.0973080609445749</v>
      </c>
      <c r="H99" s="8">
        <f>SUM(H82,H66,H55,H13+H96)</f>
        <v>3299829</v>
      </c>
      <c r="I99" s="1882">
        <f>+H99-D99</f>
        <v>1726465</v>
      </c>
      <c r="J99" s="29"/>
      <c r="K99" s="1527">
        <f>IF(H99=0,"0.00%",(L99-H99)/H99)</f>
        <v>-0.90908619810299263</v>
      </c>
      <c r="L99" s="8">
        <f>SUM(L82,L66,L55,L13+L96)</f>
        <v>300000</v>
      </c>
      <c r="M99" s="1882">
        <f>+L99-H99</f>
        <v>-2999829</v>
      </c>
      <c r="O99" s="1527">
        <f>IF(L99=0,"0.00%",(P99-L99)/L99)</f>
        <v>-0.33333333333333331</v>
      </c>
      <c r="P99" s="8">
        <f>SUM(P82,P66,P55,P13+P96)</f>
        <v>200000</v>
      </c>
      <c r="Q99" s="1882">
        <f>+P99-L99</f>
        <v>-100000</v>
      </c>
      <c r="S99" s="83">
        <f>IF(P99=0,"0.00%",(T99-P99)/P99)</f>
        <v>-0.74317500000000003</v>
      </c>
      <c r="T99" s="8">
        <f>SUM(T82,T66,T55,T13+T96)</f>
        <v>51365</v>
      </c>
      <c r="U99" s="73"/>
      <c r="W99" s="83">
        <f>IF(T99=0,"0.00%",(X99-T99)/T99)</f>
        <v>2.7294850579188162E-2</v>
      </c>
      <c r="X99" s="8">
        <f>SUM(X82,X66,X55,X13+X96)</f>
        <v>52767</v>
      </c>
      <c r="Y99" s="73"/>
      <c r="AA99" s="83">
        <f>IF(X99=0,"0.00%",(AB99-X99)/X99)</f>
        <v>2.7308734625807796E-2</v>
      </c>
      <c r="AB99" s="8">
        <f>SUM(AB82,AB66,AB55,AB13+AB96)</f>
        <v>54208</v>
      </c>
      <c r="AC99" s="73"/>
    </row>
    <row r="100" spans="1:29" x14ac:dyDescent="0.25">
      <c r="A100" s="153"/>
      <c r="E100" s="1249"/>
      <c r="F100" s="2"/>
      <c r="H100" s="2"/>
      <c r="I100" s="1257"/>
      <c r="J100" s="66"/>
      <c r="L100" s="2"/>
      <c r="M100" s="1335"/>
      <c r="Q100" s="1335"/>
      <c r="T100" s="2"/>
      <c r="U100" s="73"/>
      <c r="X100" s="2"/>
      <c r="Y100" s="73"/>
      <c r="AB100" s="2"/>
      <c r="AC100" s="73"/>
    </row>
    <row r="101" spans="1:29" x14ac:dyDescent="0.25">
      <c r="A101" s="153"/>
      <c r="B101" s="1323" t="s">
        <v>138</v>
      </c>
      <c r="D101" s="3">
        <f>D11-D99</f>
        <v>387954</v>
      </c>
      <c r="G101" s="1527">
        <f>IF(D101=0,"0.00%",(H101-D101)/D101)</f>
        <v>-8.7324347731947594</v>
      </c>
      <c r="H101" s="3">
        <f>H11-H99</f>
        <v>-2999829</v>
      </c>
      <c r="I101" s="1257"/>
      <c r="J101" s="66"/>
      <c r="K101" s="1527">
        <f>IF(H101=0,"0.00%",(L101-H101)/H101)</f>
        <v>-0.89999429967508149</v>
      </c>
      <c r="L101" s="3">
        <f>L11-L99</f>
        <v>-300000</v>
      </c>
      <c r="M101" s="1335"/>
      <c r="O101" s="1527">
        <f>IF(L101=0,"0.00%",(P101-L101)/L101)</f>
        <v>-0.33333333333333331</v>
      </c>
      <c r="P101" s="3">
        <f>P11-P99</f>
        <v>-200000</v>
      </c>
      <c r="Q101" s="1335"/>
      <c r="S101" s="83">
        <f>IF(P101=0,"0.00%",(T101-P101)/P101)</f>
        <v>-0.74317500000000003</v>
      </c>
      <c r="T101" s="3">
        <f>T11-T99</f>
        <v>-51365</v>
      </c>
      <c r="U101" s="73"/>
      <c r="W101" s="83">
        <f>IF(T101=0,"0.00%",(X101-T101)/T101)</f>
        <v>2.7294850579188162E-2</v>
      </c>
      <c r="X101" s="3">
        <f>X11-X99</f>
        <v>-52767</v>
      </c>
      <c r="Y101" s="73"/>
      <c r="AA101" s="83">
        <f>IF(X101=0,"0.00%",(AB101-X101)/X101)</f>
        <v>2.7308734625807796E-2</v>
      </c>
      <c r="AB101" s="3">
        <f>AB11-AB99</f>
        <v>-54208</v>
      </c>
      <c r="AC101" s="73"/>
    </row>
    <row r="102" spans="1:29" x14ac:dyDescent="0.25">
      <c r="B102" s="1323"/>
      <c r="C102" s="1317"/>
      <c r="D102" s="3"/>
      <c r="H102" s="3"/>
      <c r="I102" s="1257"/>
      <c r="J102" s="66"/>
      <c r="L102" s="3"/>
      <c r="M102" s="1335"/>
      <c r="P102" s="3"/>
      <c r="Q102" s="1335"/>
      <c r="T102" s="44"/>
      <c r="U102" s="73"/>
      <c r="X102" s="44"/>
      <c r="Y102" s="73"/>
      <c r="AB102" s="44"/>
      <c r="AC102" s="73"/>
    </row>
    <row r="103" spans="1:29" x14ac:dyDescent="0.25">
      <c r="B103" s="1323" t="s">
        <v>136</v>
      </c>
      <c r="C103" s="1319"/>
      <c r="D103" s="3">
        <f>D7+D101</f>
        <v>3646048.43</v>
      </c>
      <c r="G103" s="1527">
        <f>IF(D103=0,"0.00%",(H103-D103)/D103)</f>
        <v>-0.82276169875231198</v>
      </c>
      <c r="H103" s="3">
        <f>H7+H101</f>
        <v>646219.43000000017</v>
      </c>
      <c r="I103" s="1882">
        <f>+H103-D103</f>
        <v>-2999829</v>
      </c>
      <c r="J103" s="66"/>
      <c r="K103" s="1527">
        <f>IF(H103=0,"0.00%",(L103-H103)/H103)</f>
        <v>-0.46423859462102512</v>
      </c>
      <c r="L103" s="3">
        <f>L7+L101</f>
        <v>346219.43000000017</v>
      </c>
      <c r="M103" s="1882">
        <f>+L103-H103</f>
        <v>-300000</v>
      </c>
      <c r="O103" s="1527">
        <f>IF(L103=0,"0.00%",(P103-L103)/L103)</f>
        <v>-0.57766833016852892</v>
      </c>
      <c r="P103" s="3">
        <f>P7+P101</f>
        <v>146219.43000000017</v>
      </c>
      <c r="Q103" s="1882">
        <f>+P103-L103</f>
        <v>-200000</v>
      </c>
      <c r="S103" s="83">
        <f>IF(P103=0,"0.00%",(T103-P103)/P103)</f>
        <v>-0.35128710322561058</v>
      </c>
      <c r="T103" s="49">
        <f>T7+T101</f>
        <v>94854.430000000168</v>
      </c>
      <c r="U103" s="73"/>
      <c r="W103" s="83">
        <f>IF(T103=0,"0.00%",(X103-T103)/T103)</f>
        <v>-0.5562945241461037</v>
      </c>
      <c r="X103" s="49">
        <f>X7+X101</f>
        <v>42087.430000000168</v>
      </c>
      <c r="Y103" s="73"/>
      <c r="AA103" s="83">
        <f>IF(X103=0,"0.00%",(AB103-X103)/X103)</f>
        <v>-1.2879855101630056</v>
      </c>
      <c r="AB103" s="49">
        <f>AB7+AB101</f>
        <v>-12120.569999999832</v>
      </c>
      <c r="AC103" s="73"/>
    </row>
    <row r="104" spans="1:29" x14ac:dyDescent="0.25">
      <c r="C104" s="1259"/>
      <c r="G104" s="1540"/>
      <c r="H104" s="5"/>
      <c r="I104" s="1258"/>
      <c r="J104" s="29"/>
      <c r="L104" s="5"/>
      <c r="M104" s="1335"/>
      <c r="P104" s="5"/>
      <c r="Q104" s="1335"/>
      <c r="T104" s="5"/>
      <c r="U104" s="73"/>
      <c r="X104" s="5"/>
      <c r="Y104" s="73"/>
      <c r="AB104" s="5"/>
      <c r="AC104" s="73"/>
    </row>
    <row r="105" spans="1:29" x14ac:dyDescent="0.25">
      <c r="C105" s="1254"/>
      <c r="G105" s="1540"/>
      <c r="H105" s="36"/>
      <c r="I105" s="1257"/>
      <c r="J105" s="66"/>
      <c r="L105" s="2"/>
      <c r="M105" s="1335"/>
      <c r="Q105" s="1335"/>
      <c r="T105" s="2"/>
      <c r="U105" s="73"/>
      <c r="X105" s="2"/>
      <c r="Y105" s="73"/>
      <c r="AB105" s="2"/>
      <c r="AC105" s="73"/>
    </row>
    <row r="106" spans="1:29" x14ac:dyDescent="0.25">
      <c r="C106" s="1254"/>
      <c r="G106" s="1540"/>
      <c r="H106" s="36"/>
      <c r="I106" s="1257"/>
      <c r="J106" s="66"/>
      <c r="L106" s="2"/>
      <c r="M106" s="1335"/>
      <c r="Q106" s="1335"/>
      <c r="T106" s="2"/>
      <c r="U106" s="73"/>
      <c r="X106" s="2"/>
      <c r="Y106" s="73"/>
      <c r="AB106" s="2"/>
      <c r="AC106" s="73"/>
    </row>
    <row r="107" spans="1:29" x14ac:dyDescent="0.25">
      <c r="C107" s="1254"/>
      <c r="G107" s="1540"/>
      <c r="H107" s="36"/>
      <c r="I107" s="1257"/>
      <c r="J107" s="66"/>
      <c r="L107" s="2"/>
      <c r="M107" s="1335"/>
      <c r="Q107" s="1335"/>
      <c r="T107" s="2"/>
      <c r="U107" s="73"/>
      <c r="X107" s="2"/>
      <c r="Y107" s="73"/>
      <c r="AB107" s="2"/>
      <c r="AC107" s="73"/>
    </row>
    <row r="108" spans="1:29" x14ac:dyDescent="0.25">
      <c r="C108" s="1254"/>
      <c r="G108" s="1540"/>
      <c r="H108" s="36"/>
      <c r="I108" s="1257"/>
      <c r="J108" s="66"/>
      <c r="L108" s="2"/>
      <c r="M108" s="1335"/>
      <c r="Q108" s="1335"/>
      <c r="T108" s="2"/>
      <c r="U108" s="73"/>
      <c r="X108" s="2"/>
      <c r="Y108" s="73"/>
      <c r="AB108" s="2"/>
      <c r="AC108" s="73"/>
    </row>
    <row r="109" spans="1:29" s="138" customFormat="1" ht="11.25" x14ac:dyDescent="0.2">
      <c r="A109" s="157"/>
      <c r="B109" s="1329"/>
      <c r="C109" s="1330" t="s">
        <v>273</v>
      </c>
      <c r="D109" s="135">
        <f>+D82+D66+D53+D41+D30+D96</f>
        <v>1573364</v>
      </c>
      <c r="E109" s="1251"/>
      <c r="G109" s="1541" t="s">
        <v>273</v>
      </c>
      <c r="H109" s="135">
        <f>+H82+H66+H53+H41+H30+H96</f>
        <v>3299829</v>
      </c>
      <c r="I109" s="1260"/>
      <c r="J109" s="136"/>
      <c r="K109" s="1541" t="s">
        <v>273</v>
      </c>
      <c r="L109" s="135">
        <f>+L82+L66+L53+L41+L30+L96</f>
        <v>300000</v>
      </c>
      <c r="M109" s="1338"/>
      <c r="O109" s="1541" t="s">
        <v>273</v>
      </c>
      <c r="P109" s="135">
        <f>+P82+P66+P53+P41+P30+P96</f>
        <v>200000</v>
      </c>
      <c r="Q109" s="1338"/>
      <c r="R109" s="140"/>
      <c r="S109" s="158" t="s">
        <v>273</v>
      </c>
      <c r="T109" s="135">
        <f>+T82+T66+T53+T41+T30+T96</f>
        <v>51365</v>
      </c>
      <c r="U109" s="139"/>
      <c r="W109" s="158" t="s">
        <v>273</v>
      </c>
      <c r="X109" s="135">
        <f>+X82+X66+X53+X41+X30+X96</f>
        <v>52767</v>
      </c>
      <c r="Y109" s="139"/>
      <c r="AA109" s="158" t="s">
        <v>273</v>
      </c>
      <c r="AB109" s="135">
        <f>+AB82+AB66+AB53+AB41+AB30+AB96</f>
        <v>54208</v>
      </c>
      <c r="AC109" s="139"/>
    </row>
    <row r="110" spans="1:29" s="138" customFormat="1" ht="11.25" x14ac:dyDescent="0.2">
      <c r="A110" s="159"/>
      <c r="B110" s="1329"/>
      <c r="C110" s="1331" t="s">
        <v>227</v>
      </c>
      <c r="D110" s="143">
        <f>+D13</f>
        <v>0</v>
      </c>
      <c r="E110" s="1252"/>
      <c r="F110" s="145"/>
      <c r="G110" s="1546" t="s">
        <v>227</v>
      </c>
      <c r="H110" s="143">
        <f>+H13</f>
        <v>0</v>
      </c>
      <c r="I110" s="1261"/>
      <c r="J110" s="144"/>
      <c r="K110" s="1546" t="s">
        <v>227</v>
      </c>
      <c r="L110" s="143">
        <f>+L13</f>
        <v>0</v>
      </c>
      <c r="M110" s="1338"/>
      <c r="O110" s="1546" t="s">
        <v>227</v>
      </c>
      <c r="P110" s="143">
        <f>+P13</f>
        <v>0</v>
      </c>
      <c r="Q110" s="1251"/>
      <c r="R110" s="140"/>
      <c r="S110" s="160" t="s">
        <v>227</v>
      </c>
      <c r="T110" s="143">
        <f>+T13</f>
        <v>0</v>
      </c>
      <c r="W110" s="160" t="s">
        <v>227</v>
      </c>
      <c r="X110" s="143">
        <f>+X13</f>
        <v>0</v>
      </c>
      <c r="AA110" s="160" t="s">
        <v>227</v>
      </c>
      <c r="AB110" s="143">
        <f>+AB13</f>
        <v>0</v>
      </c>
    </row>
    <row r="111" spans="1:29" s="138" customFormat="1" ht="11.25" x14ac:dyDescent="0.2">
      <c r="A111" s="159"/>
      <c r="B111" s="1329"/>
      <c r="C111" s="1331"/>
      <c r="D111" s="146">
        <f>+D109+D110</f>
        <v>1573364</v>
      </c>
      <c r="E111" s="1252"/>
      <c r="F111" s="145"/>
      <c r="G111" s="1546"/>
      <c r="H111" s="146">
        <f>+H109+H110</f>
        <v>3299829</v>
      </c>
      <c r="I111" s="1261"/>
      <c r="J111" s="144"/>
      <c r="K111" s="1546"/>
      <c r="L111" s="146">
        <f>+L109+L110</f>
        <v>300000</v>
      </c>
      <c r="M111" s="1251"/>
      <c r="O111" s="1546"/>
      <c r="P111" s="146">
        <f>+P109+P110</f>
        <v>200000</v>
      </c>
      <c r="Q111" s="1251"/>
      <c r="R111" s="140"/>
      <c r="S111" s="160"/>
      <c r="T111" s="146">
        <f>+T109+T110</f>
        <v>51365</v>
      </c>
      <c r="W111" s="160"/>
      <c r="X111" s="146">
        <f>+X109+X110</f>
        <v>52767</v>
      </c>
      <c r="AA111" s="160"/>
      <c r="AB111" s="146">
        <f>+AB109+AB110</f>
        <v>54208</v>
      </c>
    </row>
    <row r="112" spans="1:29" ht="15" customHeight="1" x14ac:dyDescent="0.25">
      <c r="A112" s="153"/>
      <c r="B112" s="1332"/>
      <c r="C112" s="1332"/>
      <c r="D112" s="5">
        <f>+D99-D111</f>
        <v>0</v>
      </c>
      <c r="E112" s="1249"/>
      <c r="F112" s="2"/>
      <c r="G112" s="1543"/>
      <c r="H112" s="5">
        <f>+H99-H111</f>
        <v>0</v>
      </c>
      <c r="K112" s="1543"/>
      <c r="L112" s="5">
        <f>+L99-L111</f>
        <v>0</v>
      </c>
      <c r="O112" s="1543"/>
      <c r="P112" s="5">
        <f>+P99-P111</f>
        <v>0</v>
      </c>
      <c r="S112" s="103"/>
      <c r="T112" s="5">
        <f>+T99-T111</f>
        <v>0</v>
      </c>
      <c r="W112" s="103"/>
      <c r="X112" s="5">
        <f>+X99-X111</f>
        <v>0</v>
      </c>
      <c r="AA112" s="103"/>
      <c r="AB112" s="5">
        <f>+AB99-AB111</f>
        <v>0</v>
      </c>
    </row>
    <row r="113" spans="1:6" x14ac:dyDescent="0.25">
      <c r="A113" s="153"/>
      <c r="B113" s="1332"/>
      <c r="C113" s="1332"/>
      <c r="D113" s="36"/>
      <c r="E113" s="1249"/>
      <c r="F113" s="2"/>
    </row>
    <row r="114" spans="1:6" x14ac:dyDescent="0.25">
      <c r="A114" s="153"/>
      <c r="B114" s="1319"/>
      <c r="C114" s="1254"/>
      <c r="D114" s="25"/>
      <c r="E114" s="1249"/>
      <c r="F114" s="2"/>
    </row>
    <row r="115" spans="1:6" x14ac:dyDescent="0.25">
      <c r="B115" s="1319"/>
      <c r="C115" s="1254"/>
      <c r="D115" s="36"/>
    </row>
    <row r="116" spans="1:6" x14ac:dyDescent="0.25">
      <c r="B116" s="1319"/>
      <c r="C116" s="1254"/>
      <c r="D116" s="36"/>
    </row>
    <row r="117" spans="1:6" ht="15" customHeight="1" x14ac:dyDescent="0.25">
      <c r="B117" s="1319"/>
      <c r="C117" s="1254"/>
      <c r="D117" s="36"/>
    </row>
    <row r="118" spans="1:6" x14ac:dyDescent="0.25">
      <c r="B118" s="1319"/>
      <c r="C118" s="1254"/>
      <c r="D118" s="36"/>
    </row>
    <row r="119" spans="1:6" x14ac:dyDescent="0.25">
      <c r="B119" s="1319"/>
      <c r="C119" s="1254"/>
      <c r="D119" s="36"/>
    </row>
    <row r="120" spans="1:6" ht="15" customHeight="1" x14ac:dyDescent="0.25">
      <c r="B120" s="2151"/>
      <c r="C120" s="2151"/>
      <c r="D120" s="36"/>
    </row>
    <row r="121" spans="1:6" x14ac:dyDescent="0.25">
      <c r="B121" s="2151"/>
      <c r="C121" s="2151"/>
      <c r="D121" s="36"/>
    </row>
    <row r="122" spans="1:6" x14ac:dyDescent="0.25">
      <c r="B122" s="1319"/>
      <c r="C122" s="1254"/>
      <c r="D122" s="6"/>
    </row>
    <row r="123" spans="1:6" x14ac:dyDescent="0.25">
      <c r="B123" s="1319"/>
      <c r="C123" s="1254"/>
      <c r="D123" s="36"/>
    </row>
    <row r="124" spans="1:6" x14ac:dyDescent="0.25">
      <c r="B124" s="1319"/>
      <c r="C124" s="1254"/>
      <c r="D124" s="36"/>
    </row>
    <row r="125" spans="1:6" ht="28.5" customHeight="1" x14ac:dyDescent="0.25">
      <c r="B125" s="1319"/>
      <c r="C125" s="1254"/>
      <c r="D125" s="25"/>
    </row>
    <row r="126" spans="1:6" x14ac:dyDescent="0.25">
      <c r="B126" s="1319"/>
      <c r="C126" s="1254"/>
      <c r="D126" s="36"/>
    </row>
    <row r="127" spans="1:6" x14ac:dyDescent="0.25">
      <c r="B127" s="1319"/>
      <c r="C127" s="1254"/>
      <c r="D127" s="36"/>
    </row>
    <row r="128" spans="1:6" x14ac:dyDescent="0.25">
      <c r="B128" s="1319"/>
      <c r="C128" s="1254"/>
      <c r="D128" s="36"/>
    </row>
    <row r="129" spans="2:4" x14ac:dyDescent="0.25">
      <c r="B129" s="1319"/>
      <c r="C129" s="1254"/>
      <c r="D129" s="36"/>
    </row>
    <row r="130" spans="2:4" x14ac:dyDescent="0.25">
      <c r="B130" s="1319"/>
      <c r="C130" s="1254"/>
      <c r="D130" s="36"/>
    </row>
    <row r="131" spans="2:4" x14ac:dyDescent="0.25">
      <c r="B131" s="1319"/>
      <c r="C131" s="1254"/>
      <c r="D131" s="36"/>
    </row>
    <row r="132" spans="2:4" x14ac:dyDescent="0.25">
      <c r="B132" s="1319"/>
      <c r="C132" s="1254"/>
      <c r="D132" s="36"/>
    </row>
    <row r="133" spans="2:4" x14ac:dyDescent="0.25">
      <c r="B133" s="1319"/>
      <c r="C133" s="1254"/>
      <c r="D133" s="36"/>
    </row>
    <row r="134" spans="2:4" x14ac:dyDescent="0.25">
      <c r="B134" s="1319"/>
      <c r="C134" s="1254"/>
      <c r="D134" s="36"/>
    </row>
    <row r="135" spans="2:4" x14ac:dyDescent="0.25">
      <c r="B135" s="1319"/>
      <c r="C135" s="1254"/>
      <c r="D135" s="36"/>
    </row>
    <row r="136" spans="2:4" x14ac:dyDescent="0.25">
      <c r="B136" s="1319"/>
      <c r="C136" s="1254"/>
      <c r="D136" s="36"/>
    </row>
    <row r="137" spans="2:4" x14ac:dyDescent="0.25">
      <c r="B137" s="1319"/>
      <c r="C137" s="1254"/>
      <c r="D137" s="36"/>
    </row>
    <row r="138" spans="2:4" x14ac:dyDescent="0.25">
      <c r="B138" s="1319"/>
      <c r="C138" s="1254"/>
      <c r="D138" s="36"/>
    </row>
    <row r="139" spans="2:4" x14ac:dyDescent="0.25">
      <c r="B139" s="1319"/>
      <c r="C139" s="1254"/>
      <c r="D139" s="36"/>
    </row>
    <row r="140" spans="2:4" x14ac:dyDescent="0.25">
      <c r="B140" s="1319"/>
      <c r="C140" s="1254"/>
      <c r="D140" s="36"/>
    </row>
  </sheetData>
  <mergeCells count="1">
    <mergeCell ref="B120:C121"/>
  </mergeCells>
  <pageMargins left="0.25" right="0.25" top="0.5" bottom="0.5" header="0.25" footer="0.25"/>
  <pageSetup paperSize="5" scale="74" orientation="portrait" r:id="rId1"/>
  <headerFooter>
    <oddHeader>&amp;L&amp;F</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26"/>
  <sheetViews>
    <sheetView zoomScaleNormal="100" workbookViewId="0">
      <pane xSplit="3" ySplit="6" topLeftCell="D7"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28515625" style="1243" customWidth="1"/>
    <col min="4" max="4" width="16" style="2" customWidth="1"/>
    <col min="5" max="5" width="17.7109375" style="1243" hidden="1" customWidth="1"/>
    <col min="6" max="6" width="6" style="39" customWidth="1"/>
    <col min="7" max="7" width="9.42578125" style="1399" bestFit="1" customWidth="1"/>
    <col min="8" max="8" width="13.85546875" style="123" bestFit="1" customWidth="1"/>
    <col min="9" max="9" width="26" style="1254" hidden="1" customWidth="1"/>
    <col min="10" max="10" width="5.7109375" style="59" customWidth="1"/>
    <col min="11" max="11" width="8.7109375" style="1550" bestFit="1" customWidth="1"/>
    <col min="12" max="12" width="14" style="124" bestFit="1" customWidth="1"/>
    <col min="13" max="13" width="26" style="1243" hidden="1" customWidth="1"/>
    <col min="14" max="14" width="5.7109375" style="39" customWidth="1"/>
    <col min="15" max="15" width="9.42578125" style="1550" bestFit="1" customWidth="1"/>
    <col min="16" max="16" width="14" style="2" bestFit="1" customWidth="1"/>
    <col min="17" max="17" width="24.85546875" style="124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346</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9076</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L4" s="123"/>
      <c r="M4" s="1254"/>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385"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D89</f>
        <v>0</v>
      </c>
      <c r="I7" s="1315"/>
      <c r="J7" s="60"/>
      <c r="L7" s="2">
        <f>H89</f>
        <v>0</v>
      </c>
      <c r="M7" s="1315"/>
      <c r="P7" s="2">
        <f>L89</f>
        <v>0</v>
      </c>
      <c r="Q7" s="1315"/>
      <c r="T7" s="2">
        <f>P89</f>
        <v>0</v>
      </c>
      <c r="U7" s="105"/>
      <c r="X7" s="2">
        <f>T89</f>
        <v>0</v>
      </c>
      <c r="Y7" s="105"/>
      <c r="AB7" s="2">
        <f>X89</f>
        <v>-8321</v>
      </c>
      <c r="AC7" s="105"/>
    </row>
    <row r="8" spans="1:29" x14ac:dyDescent="0.25">
      <c r="E8" s="1315"/>
      <c r="H8" s="2"/>
      <c r="I8" s="1315"/>
      <c r="L8" s="2"/>
      <c r="M8" s="1315"/>
      <c r="Q8" s="1315"/>
      <c r="U8" s="105"/>
      <c r="Y8" s="105"/>
      <c r="AC8" s="105"/>
    </row>
    <row r="9" spans="1:29" x14ac:dyDescent="0.25">
      <c r="B9" s="1317" t="s">
        <v>52</v>
      </c>
      <c r="C9" s="1243" t="s">
        <v>347</v>
      </c>
      <c r="D9" s="2">
        <v>8100</v>
      </c>
      <c r="E9" s="1315"/>
      <c r="G9" s="1527">
        <f>IF(D9=0,"0.00%",(H9-D9)/D9)</f>
        <v>0</v>
      </c>
      <c r="H9" s="3">
        <f>+D9</f>
        <v>8100</v>
      </c>
      <c r="I9" s="1315" t="s">
        <v>174</v>
      </c>
      <c r="J9" s="61"/>
      <c r="K9" s="1527">
        <f>IF(H9=0,"0.00%",(L9-H9)/H9)</f>
        <v>0</v>
      </c>
      <c r="L9" s="3">
        <f>+H9</f>
        <v>8100</v>
      </c>
      <c r="M9" s="1315" t="s">
        <v>174</v>
      </c>
      <c r="O9" s="1527">
        <f>IF(L9=0,"0.00%",(P9-L9)/L9)</f>
        <v>0</v>
      </c>
      <c r="P9" s="3">
        <f>+L9</f>
        <v>8100</v>
      </c>
      <c r="Q9" s="1315" t="s">
        <v>174</v>
      </c>
      <c r="S9" s="83">
        <f>IF(P9=0,"0.00%",(T9-P9)/P9)</f>
        <v>0</v>
      </c>
      <c r="T9" s="3">
        <f>+P9</f>
        <v>8100</v>
      </c>
      <c r="U9" s="105" t="s">
        <v>174</v>
      </c>
      <c r="W9" s="83">
        <f>IF(T9=0,"0.00%",(X9-T9)/T9)</f>
        <v>-1</v>
      </c>
      <c r="X9" s="3">
        <f>X3</f>
        <v>0</v>
      </c>
      <c r="Y9" s="105"/>
      <c r="AA9" s="83" t="str">
        <f>IF(X9=0,"0.00%",(AB9-X9)/X9)</f>
        <v>0.00%</v>
      </c>
      <c r="AB9" s="3">
        <f>AB3</f>
        <v>0</v>
      </c>
      <c r="AC9" s="105"/>
    </row>
    <row r="10" spans="1:29" x14ac:dyDescent="0.25">
      <c r="C10" s="1243" t="s">
        <v>51</v>
      </c>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8100</v>
      </c>
      <c r="E11" s="1315"/>
      <c r="G11" s="1527">
        <f t="shared" si="0"/>
        <v>0</v>
      </c>
      <c r="H11" s="8">
        <f>SUM(H9:H10)</f>
        <v>8100</v>
      </c>
      <c r="I11" s="1315"/>
      <c r="J11" s="62"/>
      <c r="K11" s="1527">
        <f>IF(H11=0,"0.00%",(L11-H11)/H11)</f>
        <v>0</v>
      </c>
      <c r="L11" s="8">
        <f>SUM(L9:L10)</f>
        <v>8100</v>
      </c>
      <c r="M11" s="1315"/>
      <c r="O11" s="1527">
        <f>IF(L11=0,"0.00%",(P11-L11)/L11)</f>
        <v>0</v>
      </c>
      <c r="P11" s="8">
        <f>SUM(P9:P10)</f>
        <v>8100</v>
      </c>
      <c r="Q11" s="1315"/>
      <c r="S11" s="83">
        <f>IF(P11=0,"0.00%",(T11-P11)/P11)</f>
        <v>0</v>
      </c>
      <c r="T11" s="78">
        <f>SUM(T9:T10)</f>
        <v>8100</v>
      </c>
      <c r="U11" s="105"/>
      <c r="W11" s="83">
        <f>IF(T11=0,"0.00%",(X11-T11)/T11)</f>
        <v>-1</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ROUND(D11-(D11/(1+B13)),0)</f>
        <v>0</v>
      </c>
      <c r="E13" s="1315"/>
      <c r="G13" s="1527" t="str">
        <f t="shared" si="0"/>
        <v>0.00%</v>
      </c>
      <c r="H13" s="9">
        <f>ROUND(H11-(H11/(1+B13)),0)</f>
        <v>0</v>
      </c>
      <c r="I13" s="1315"/>
      <c r="J13" s="64"/>
      <c r="K13" s="1527" t="str">
        <f>IF(H13=0,"0.00%",(L13-H13)/H13)</f>
        <v>0.00%</v>
      </c>
      <c r="L13" s="9">
        <f>ROUND(L11-(L11/(1+B13)),0)</f>
        <v>0</v>
      </c>
      <c r="M13" s="1315"/>
      <c r="O13" s="1527" t="str">
        <f>IF(L13=0,"0.00%",(P13-L13)/L13)</f>
        <v>0.00%</v>
      </c>
      <c r="P13" s="9">
        <f>ROUND(P11-(P11/(1+B13)),0)</f>
        <v>0</v>
      </c>
      <c r="Q13" s="131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8100</v>
      </c>
      <c r="E15" s="1315"/>
      <c r="G15" s="1527">
        <f t="shared" si="0"/>
        <v>0</v>
      </c>
      <c r="H15" s="9">
        <f>H11-H13</f>
        <v>8100</v>
      </c>
      <c r="I15" s="1315"/>
      <c r="J15" s="62"/>
      <c r="K15" s="1527">
        <f>IF(H15=0,"0.00%",(L15-H15)/H15)</f>
        <v>0</v>
      </c>
      <c r="L15" s="9">
        <f>L11-L13</f>
        <v>8100</v>
      </c>
      <c r="M15" s="1315"/>
      <c r="O15" s="1527">
        <f>IF(L15=0,"0.00%",(P15-L15)/L15)</f>
        <v>0</v>
      </c>
      <c r="P15" s="9">
        <f>P11-P13</f>
        <v>8100</v>
      </c>
      <c r="Q15" s="1315"/>
      <c r="S15" s="83">
        <f>IF(P15=0,"0.00%",(T15-P15)/P15)</f>
        <v>0</v>
      </c>
      <c r="T15" s="19">
        <f>T11-T13</f>
        <v>8100</v>
      </c>
      <c r="U15" s="105"/>
      <c r="W15" s="83">
        <f>IF(T15=0,"0.00%",(X15-T15)/T15)</f>
        <v>-1</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v>0.02</v>
      </c>
      <c r="J19" s="29"/>
      <c r="L19" s="14" t="s">
        <v>48</v>
      </c>
      <c r="M19" s="1256">
        <v>0.02</v>
      </c>
      <c r="P19" s="14" t="s">
        <v>48</v>
      </c>
      <c r="Q19" s="1256">
        <v>0.02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t="str">
        <f t="shared" ref="I21:I28" si="3">TEXT($I$19,"0.0%")&amp;" = Est. S &amp; C"</f>
        <v>2.0% = Est. S &amp; C</v>
      </c>
      <c r="J21" s="66"/>
      <c r="K21" s="1527" t="str">
        <f t="shared" ref="K21:K27" si="4">IF(H21=0,"0.00%",(L21-H21)/H21)</f>
        <v>0.00%</v>
      </c>
      <c r="L21" s="2">
        <f>ROUND(H21*(1+M19),0)</f>
        <v>0</v>
      </c>
      <c r="M21" s="1257" t="str">
        <f>TEXT(M19,"0.0%")&amp;" = Est. S &amp; C"</f>
        <v>2.0% = Est. S &amp; C</v>
      </c>
      <c r="O21" s="1527" t="str">
        <f t="shared" ref="O21:O27" si="5">IF(L21=0,"0.00%",(P21-L21)/L21)</f>
        <v>0.00%</v>
      </c>
      <c r="P21" s="2">
        <f>ROUND(L21*(1+Q19),0)</f>
        <v>0</v>
      </c>
      <c r="Q21" s="125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2.0% = Est. S &amp; C</v>
      </c>
      <c r="J22" s="66"/>
      <c r="K22" s="1527" t="str">
        <f t="shared" si="4"/>
        <v>0.00%</v>
      </c>
      <c r="L22" s="2">
        <f>ROUND(H22*(1+M19),0)</f>
        <v>0</v>
      </c>
      <c r="M22" s="1257" t="str">
        <f>TEXT(M19,"0.0%")&amp;" = Est. S &amp; C"</f>
        <v>2.0% = Est. S &amp; C</v>
      </c>
      <c r="O22" s="1527" t="str">
        <f t="shared" si="5"/>
        <v>0.00%</v>
      </c>
      <c r="P22" s="2">
        <f>ROUND(L22*(1+Q19),0)</f>
        <v>0</v>
      </c>
      <c r="Q22" s="125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2.0% = Est. S &amp; C</v>
      </c>
      <c r="J23" s="66"/>
      <c r="K23" s="1527" t="str">
        <f t="shared" si="4"/>
        <v>0.00%</v>
      </c>
      <c r="L23" s="2">
        <f>ROUND(H23*(1+M19),0)</f>
        <v>0</v>
      </c>
      <c r="M23" s="1257" t="str">
        <f>TEXT(M19,"0.0%")&amp;" = Est. S &amp; C"</f>
        <v>2.0% = Est. S &amp; C</v>
      </c>
      <c r="O23" s="1527" t="str">
        <f t="shared" si="5"/>
        <v>0.00%</v>
      </c>
      <c r="P23" s="2">
        <f>ROUND(L23*(1+Q19),0)</f>
        <v>0</v>
      </c>
      <c r="Q23" s="125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2.0% = Est. S &amp; C</v>
      </c>
      <c r="J24" s="66"/>
      <c r="K24" s="1527" t="str">
        <f t="shared" si="4"/>
        <v>0.00%</v>
      </c>
      <c r="L24" s="2">
        <f>ROUND(H24*(1+M19),0)</f>
        <v>0</v>
      </c>
      <c r="M24" s="1257" t="str">
        <f>TEXT(M19,"0.0%")&amp;" = Est. S &amp; C"</f>
        <v>2.0% = Est. S &amp; C</v>
      </c>
      <c r="O24" s="1527" t="str">
        <f t="shared" si="5"/>
        <v>0.00%</v>
      </c>
      <c r="P24" s="2">
        <f>ROUND(L24*(1+Q19),0)</f>
        <v>0</v>
      </c>
      <c r="Q24" s="125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t="str">
        <f t="shared" si="3"/>
        <v>2.0% = Est. S &amp; C</v>
      </c>
      <c r="J25" s="66"/>
      <c r="K25" s="1527" t="str">
        <f t="shared" si="4"/>
        <v>0.00%</v>
      </c>
      <c r="L25" s="2">
        <f>ROUND(H25*(1+M19),0)</f>
        <v>0</v>
      </c>
      <c r="M25" s="1257" t="str">
        <f>TEXT(M19,"0.0%")&amp;" = Est. S &amp; C"</f>
        <v>2.0% = Est. S &amp; C</v>
      </c>
      <c r="O25" s="1527" t="str">
        <f t="shared" si="5"/>
        <v>0.00%</v>
      </c>
      <c r="P25" s="2">
        <f>ROUND(L25*(1+Q19),0)</f>
        <v>0</v>
      </c>
      <c r="Q25" s="125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2.0% = Est. S &amp; C</v>
      </c>
      <c r="J26" s="66"/>
      <c r="K26" s="1527" t="str">
        <f t="shared" si="4"/>
        <v>0.00%</v>
      </c>
      <c r="L26" s="2">
        <f>ROUND(H26*(1+M19),0)</f>
        <v>0</v>
      </c>
      <c r="M26" s="1257" t="str">
        <f>TEXT(M19,"0.0%")&amp;" = Est. S &amp; C"</f>
        <v>2.0% = Est. S &amp; C</v>
      </c>
      <c r="O26" s="1527" t="str">
        <f t="shared" si="5"/>
        <v>0.00%</v>
      </c>
      <c r="P26" s="2">
        <f>ROUND(L26*(1+Q19),0)</f>
        <v>0</v>
      </c>
      <c r="Q26" s="125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2.0% = Est. S &amp; C</v>
      </c>
      <c r="J27" s="66"/>
      <c r="K27" s="1527" t="str">
        <f t="shared" si="4"/>
        <v>0.00%</v>
      </c>
      <c r="L27" s="2">
        <f>ROUND(H27*(1+M19),0)</f>
        <v>0</v>
      </c>
      <c r="M27" s="1257" t="str">
        <f>TEXT(M19,"0.0%")&amp;" = Est. S &amp; C"</f>
        <v>2.0% = Est. S &amp; C</v>
      </c>
      <c r="O27" s="1527" t="str">
        <f t="shared" si="5"/>
        <v>0.00%</v>
      </c>
      <c r="P27" s="2">
        <f>ROUND(L27*(1+Q19),0)</f>
        <v>0</v>
      </c>
      <c r="Q27" s="125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2.0%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hidden="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c r="D33" s="2">
        <v>0</v>
      </c>
      <c r="E33" s="1249"/>
      <c r="F33" s="2"/>
      <c r="G33" s="1527" t="str">
        <f t="shared" ref="G33:G39" si="9">IF(D33=0,"0.00%",(H33-D33)/D33)</f>
        <v>0.00%</v>
      </c>
      <c r="H33" s="2">
        <f t="shared" ref="H33:H39" si="10">ROUND(D33*(1+$I$19),0)</f>
        <v>0</v>
      </c>
      <c r="I33" s="1257" t="str">
        <f t="shared" ref="I33:I39" si="11">TEXT($I$19,"0.0%")&amp;" = Est. S &amp; C"</f>
        <v>2.0% = Est. S &amp; C</v>
      </c>
      <c r="J33" s="66"/>
      <c r="K33" s="1527" t="str">
        <f t="shared" ref="K33:K39" si="12">IF(H33=0,"0.00%",(L33-H33)/H33)</f>
        <v>0.00%</v>
      </c>
      <c r="L33" s="2">
        <f>ROUND(H33*(1+M19),0)</f>
        <v>0</v>
      </c>
      <c r="M33" s="1257"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D34" s="2">
        <v>0</v>
      </c>
      <c r="E34" s="1249"/>
      <c r="F34" s="2"/>
      <c r="G34" s="1527" t="str">
        <f t="shared" si="9"/>
        <v>0.00%</v>
      </c>
      <c r="H34" s="2">
        <f t="shared" si="10"/>
        <v>0</v>
      </c>
      <c r="I34" s="1257" t="str">
        <f t="shared" si="11"/>
        <v>2.0% = Est. S &amp; C</v>
      </c>
      <c r="J34" s="66"/>
      <c r="K34" s="1527" t="str">
        <f t="shared" si="12"/>
        <v>0.00%</v>
      </c>
      <c r="L34" s="2">
        <f>ROUND(H34*(1+M19),0)</f>
        <v>0</v>
      </c>
      <c r="M34" s="1257" t="str">
        <f>TEXT(M19,"0.0%")&amp;" = Est. S &amp; C"</f>
        <v>2.0% = Est. S &amp; C</v>
      </c>
      <c r="O34" s="1527" t="str">
        <f t="shared" si="13"/>
        <v>0.00%</v>
      </c>
      <c r="P34" s="2">
        <f>ROUND(L34*(1+Q19),0)</f>
        <v>0</v>
      </c>
      <c r="Q34" s="125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D35" s="2">
        <v>0</v>
      </c>
      <c r="E35" s="1249"/>
      <c r="F35" s="2"/>
      <c r="G35" s="1527" t="str">
        <f t="shared" si="9"/>
        <v>0.00%</v>
      </c>
      <c r="H35" s="2">
        <f t="shared" si="10"/>
        <v>0</v>
      </c>
      <c r="I35" s="1257" t="str">
        <f t="shared" si="11"/>
        <v>2.0% = Est. S &amp; C</v>
      </c>
      <c r="J35" s="66"/>
      <c r="K35" s="1527" t="str">
        <f t="shared" si="12"/>
        <v>0.00%</v>
      </c>
      <c r="L35" s="2">
        <f>ROUND(H35*(1+M19),0)</f>
        <v>0</v>
      </c>
      <c r="M35" s="1257" t="str">
        <f>TEXT(M19,"0.0%")&amp;" = Est. S &amp; C"</f>
        <v>2.0% = Est. S &amp; C</v>
      </c>
      <c r="O35" s="1527" t="str">
        <f t="shared" si="13"/>
        <v>0.00%</v>
      </c>
      <c r="P35" s="2">
        <f>ROUND(L35*(1+Q19),0)</f>
        <v>0</v>
      </c>
      <c r="Q35" s="125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D36" s="2">
        <v>0</v>
      </c>
      <c r="E36" s="1249"/>
      <c r="F36" s="2"/>
      <c r="G36" s="1527" t="str">
        <f t="shared" si="9"/>
        <v>0.00%</v>
      </c>
      <c r="H36" s="2">
        <f t="shared" si="10"/>
        <v>0</v>
      </c>
      <c r="I36" s="1257" t="str">
        <f t="shared" si="11"/>
        <v>2.0% = Est. S &amp; C</v>
      </c>
      <c r="J36" s="66"/>
      <c r="K36" s="1527" t="str">
        <f t="shared" si="12"/>
        <v>0.00%</v>
      </c>
      <c r="L36" s="2">
        <f>ROUND(H36*(1+M19),0)</f>
        <v>0</v>
      </c>
      <c r="M36" s="1257" t="str">
        <f>TEXT(M19,"0.0%")&amp;" = Est. S &amp; C"</f>
        <v>2.0% = Est. S &amp; C</v>
      </c>
      <c r="O36" s="1527" t="str">
        <f t="shared" si="13"/>
        <v>0.00%</v>
      </c>
      <c r="P36" s="2">
        <f>ROUND(L36*(1+Q19),0)</f>
        <v>0</v>
      </c>
      <c r="Q36" s="125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D37" s="2">
        <v>0</v>
      </c>
      <c r="E37" s="1249"/>
      <c r="F37" s="2"/>
      <c r="G37" s="1527" t="str">
        <f t="shared" si="9"/>
        <v>0.00%</v>
      </c>
      <c r="H37" s="2">
        <f t="shared" si="10"/>
        <v>0</v>
      </c>
      <c r="I37" s="1257" t="str">
        <f t="shared" si="11"/>
        <v>2.0% = Est. S &amp; C</v>
      </c>
      <c r="J37" s="66"/>
      <c r="K37" s="1527" t="str">
        <f t="shared" si="12"/>
        <v>0.00%</v>
      </c>
      <c r="L37" s="2">
        <f>ROUND(H37*(1+M19),0)</f>
        <v>0</v>
      </c>
      <c r="M37" s="1257" t="str">
        <f>TEXT(M19,"0.0%")&amp;" = Est. S &amp; C"</f>
        <v>2.0% = Est. S &amp; C</v>
      </c>
      <c r="O37" s="1527" t="str">
        <f t="shared" si="13"/>
        <v>0.00%</v>
      </c>
      <c r="P37" s="2">
        <f>ROUND(L37*(1+Q19),0)</f>
        <v>0</v>
      </c>
      <c r="Q37" s="125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D38" s="2">
        <v>0</v>
      </c>
      <c r="E38" s="1249"/>
      <c r="F38" s="2"/>
      <c r="G38" s="1527" t="str">
        <f t="shared" si="9"/>
        <v>0.00%</v>
      </c>
      <c r="H38" s="2">
        <f t="shared" si="10"/>
        <v>0</v>
      </c>
      <c r="I38" s="1257" t="str">
        <f t="shared" si="11"/>
        <v>2.0% = Est. S &amp; C</v>
      </c>
      <c r="J38" s="66"/>
      <c r="K38" s="1527" t="str">
        <f t="shared" si="12"/>
        <v>0.00%</v>
      </c>
      <c r="L38" s="2">
        <f>ROUND(H38*(1+M19),0)</f>
        <v>0</v>
      </c>
      <c r="M38" s="1257" t="str">
        <f>TEXT(M19,"0.0%")&amp;" = Est. S &amp; C"</f>
        <v>2.0% = Est. S &amp; C</v>
      </c>
      <c r="O38" s="1527" t="str">
        <f t="shared" si="13"/>
        <v>0.00%</v>
      </c>
      <c r="P38" s="2">
        <f>ROUND(L38*(1+Q19),0)</f>
        <v>0</v>
      </c>
      <c r="Q38" s="125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0"/>
        <v>0</v>
      </c>
      <c r="I39" s="1257" t="str">
        <f t="shared" si="11"/>
        <v>2.0% = Est. S &amp; C</v>
      </c>
      <c r="J39" s="66"/>
      <c r="K39" s="1527" t="str">
        <f t="shared" si="12"/>
        <v>0.00%</v>
      </c>
      <c r="L39" s="2">
        <f>ROUND(H39*(1+M19),0)</f>
        <v>0</v>
      </c>
      <c r="M39" s="1257" t="str">
        <f>TEXT(M19,"0.0%")&amp;" = Est. S &amp; C"</f>
        <v>2.0% = Est. S &amp; C</v>
      </c>
      <c r="O39" s="1527" t="str">
        <f t="shared" si="13"/>
        <v>0.00%</v>
      </c>
      <c r="P39" s="2">
        <f>ROUND(L39*(1+Q19),0)</f>
        <v>0</v>
      </c>
      <c r="Q39" s="125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hidden="1"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3"/>
      <c r="B42" s="1317" t="s">
        <v>28</v>
      </c>
      <c r="E42" s="1249"/>
      <c r="F42" s="2"/>
      <c r="H42" s="2"/>
      <c r="I42" s="1257"/>
      <c r="J42" s="66"/>
      <c r="L42" s="2"/>
      <c r="M42" s="1335"/>
      <c r="Q42" s="1335"/>
      <c r="T42" s="2"/>
      <c r="U42" s="73"/>
      <c r="X42" s="2"/>
      <c r="Y42" s="73"/>
      <c r="AB42" s="2"/>
      <c r="AC42" s="73"/>
    </row>
    <row r="43" spans="1:29" hidden="1" x14ac:dyDescent="0.25">
      <c r="A43" s="155"/>
      <c r="B43" s="1323" t="s">
        <v>27</v>
      </c>
      <c r="E43" s="1249"/>
      <c r="F43" s="2"/>
      <c r="H43" s="2"/>
      <c r="I43" s="1257"/>
      <c r="J43" s="66"/>
      <c r="L43" s="2"/>
      <c r="M43" s="1335"/>
      <c r="Q43" s="1335"/>
      <c r="T43" s="2"/>
      <c r="U43" s="73"/>
      <c r="X43" s="2"/>
      <c r="Y43" s="73"/>
      <c r="AB43" s="2"/>
      <c r="AC43" s="73"/>
    </row>
    <row r="44" spans="1:29" hidden="1" x14ac:dyDescent="0.25">
      <c r="A44" s="153"/>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hidden="1" x14ac:dyDescent="0.25">
      <c r="A45" s="153"/>
      <c r="B45" s="1326" t="s">
        <v>84</v>
      </c>
      <c r="C45" s="1243" t="s">
        <v>77</v>
      </c>
      <c r="D45" s="2">
        <v>0</v>
      </c>
      <c r="E45" s="1240" t="str">
        <f>TEXT('MYP Assumptions'!$D$53,"0.00%")&amp;", PERS rate"</f>
        <v>13.89%, PERS rate</v>
      </c>
      <c r="F45" s="2"/>
      <c r="G45" s="1527" t="str">
        <f t="shared" si="17"/>
        <v>0.00%</v>
      </c>
      <c r="H45" s="2">
        <f>ROUND(H41*LEFT(I45,6),0)</f>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hidden="1" x14ac:dyDescent="0.25">
      <c r="A46" s="153"/>
      <c r="B46" s="1326" t="s">
        <v>85</v>
      </c>
      <c r="C46" s="1243" t="s">
        <v>78</v>
      </c>
      <c r="D46" s="2">
        <v>0</v>
      </c>
      <c r="E46" s="1240" t="str">
        <f>TEXT('MYP Assumptions'!$D$54,"0.00%")&amp;", SS rate"</f>
        <v>6.20%, SS rate</v>
      </c>
      <c r="F46" s="2"/>
      <c r="G46" s="1527" t="str">
        <f t="shared" si="17"/>
        <v>0.00%</v>
      </c>
      <c r="H46" s="2">
        <f>ROUND(H41*LEFT(I46,5),0)</f>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hidden="1" x14ac:dyDescent="0.25">
      <c r="A47" s="153"/>
      <c r="B47" s="1326" t="s">
        <v>86</v>
      </c>
      <c r="C47" s="1243" t="s">
        <v>79</v>
      </c>
      <c r="D47" s="2">
        <v>0</v>
      </c>
      <c r="E47" s="1240" t="str">
        <f>TEXT('MYP Assumptions'!$D$55,"0.00%")&amp;", Medicare rate"</f>
        <v>1.45%, Medicare rate</v>
      </c>
      <c r="F47" s="2"/>
      <c r="G47" s="1527" t="str">
        <f t="shared" si="17"/>
        <v>0.00%</v>
      </c>
      <c r="H47" s="2">
        <f>ROUND((H41+H30)*LEFT(I47,5),0)</f>
        <v>0</v>
      </c>
      <c r="I47" s="1240" t="str">
        <f>TEXT('MYP Assumptions'!E55,"0.00%")&amp;", no rate change"</f>
        <v>1.45%, no rate change</v>
      </c>
      <c r="J47" s="66"/>
      <c r="K47" s="1527" t="str">
        <f t="shared" si="18"/>
        <v>0.00%</v>
      </c>
      <c r="L47" s="2">
        <f>ROUND((L41+L30)*LEFT(M47,5),0)</f>
        <v>0</v>
      </c>
      <c r="M47" s="1240"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hidden="1" x14ac:dyDescent="0.25">
      <c r="A48" s="153"/>
      <c r="B48" s="1326" t="s">
        <v>87</v>
      </c>
      <c r="C48" s="1243" t="s">
        <v>80</v>
      </c>
      <c r="D48" s="2">
        <v>0</v>
      </c>
      <c r="E48" s="1240"/>
      <c r="F48" s="2"/>
      <c r="G48" s="1527" t="str">
        <f t="shared" si="17"/>
        <v>0.00%</v>
      </c>
      <c r="H48" s="2">
        <f>ROUND((D48)*(LEFT(I48,5)+1),0)</f>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hidden="1" x14ac:dyDescent="0.25">
      <c r="A49" s="153"/>
      <c r="B49" s="1326" t="s">
        <v>88</v>
      </c>
      <c r="C49" s="1243" t="s">
        <v>81</v>
      </c>
      <c r="D49" s="2">
        <v>0</v>
      </c>
      <c r="E49" s="1240" t="str">
        <f>TEXT('MYP Assumptions'!$D$56,"0.00%")&amp;", SUI rate"</f>
        <v>0.05%, SUI rate</v>
      </c>
      <c r="F49" s="2"/>
      <c r="G49" s="1527" t="str">
        <f t="shared" si="17"/>
        <v>0.00%</v>
      </c>
      <c r="H49" s="2">
        <f>ROUND((H41+H30)*LEFT(I49,5),0)</f>
        <v>0</v>
      </c>
      <c r="I49" s="1240" t="str">
        <f>TEXT('MYP Assumptions'!E56,"0.00%")&amp;", no rate change"</f>
        <v>0.05%, no rate change</v>
      </c>
      <c r="J49" s="66"/>
      <c r="K49" s="1527" t="str">
        <f t="shared" si="18"/>
        <v>0.00%</v>
      </c>
      <c r="L49" s="2">
        <f>ROUND((L41+L30)*LEFT(M49,5),0)</f>
        <v>0</v>
      </c>
      <c r="M49" s="1240"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hidden="1" x14ac:dyDescent="0.25">
      <c r="A50" s="153"/>
      <c r="B50" s="1326" t="s">
        <v>89</v>
      </c>
      <c r="C50" s="1243" t="s">
        <v>82</v>
      </c>
      <c r="D50" s="2">
        <v>0</v>
      </c>
      <c r="E50" s="1240" t="str">
        <f>TEXT('MYP Assumptions'!$D$57,"0.00%")&amp;", W/C rate"</f>
        <v>1.10%, W/C rate</v>
      </c>
      <c r="F50" s="2"/>
      <c r="G50" s="1527" t="str">
        <f t="shared" si="17"/>
        <v>0.00%</v>
      </c>
      <c r="H50" s="2">
        <f>ROUND((H41+H30)*LEFT(I50,5),0)</f>
        <v>0</v>
      </c>
      <c r="I50" s="1240" t="str">
        <f>TEXT('MYP Assumptions'!E57,"0.00%")&amp;", no rate change"</f>
        <v>1.10%, no rate change</v>
      </c>
      <c r="J50" s="66"/>
      <c r="K50" s="1527" t="str">
        <f t="shared" si="18"/>
        <v>0.00%</v>
      </c>
      <c r="L50" s="2">
        <f>ROUND((L41+L30)*LEFT(M50,5),0)</f>
        <v>0</v>
      </c>
      <c r="M50" s="1240"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hidden="1" x14ac:dyDescent="0.25">
      <c r="A51" s="153"/>
      <c r="B51" s="1326" t="s">
        <v>90</v>
      </c>
      <c r="C51" s="1243" t="s">
        <v>92</v>
      </c>
      <c r="D51" s="2">
        <v>0</v>
      </c>
      <c r="E51" s="1249"/>
      <c r="F51" s="2"/>
      <c r="G51" s="1527" t="str">
        <f t="shared" si="17"/>
        <v>0.00%</v>
      </c>
      <c r="H51" s="2">
        <f>D51</f>
        <v>0</v>
      </c>
      <c r="I51" s="1240" t="s">
        <v>166</v>
      </c>
      <c r="J51" s="66"/>
      <c r="K51" s="1527" t="str">
        <f t="shared" si="18"/>
        <v>0.00%</v>
      </c>
      <c r="L51" s="2">
        <f>H51</f>
        <v>0</v>
      </c>
      <c r="M51" s="1240" t="s">
        <v>166</v>
      </c>
      <c r="O51" s="1527" t="str">
        <f t="shared" si="19"/>
        <v>0.00%</v>
      </c>
      <c r="P51" s="2">
        <f>L51</f>
        <v>0</v>
      </c>
      <c r="Q51" s="1240"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3"/>
      <c r="B52" s="1326" t="s">
        <v>91</v>
      </c>
      <c r="C52" s="1243" t="s">
        <v>93</v>
      </c>
      <c r="D52" s="2">
        <v>0</v>
      </c>
      <c r="E52" s="1249"/>
      <c r="F52" s="2"/>
      <c r="G52" s="1527" t="str">
        <f t="shared" si="17"/>
        <v>0.00%</v>
      </c>
      <c r="H52" s="2">
        <f>D52</f>
        <v>0</v>
      </c>
      <c r="I52" s="1240" t="s">
        <v>166</v>
      </c>
      <c r="J52" s="66"/>
      <c r="K52" s="1527" t="str">
        <f t="shared" si="18"/>
        <v>0.00%</v>
      </c>
      <c r="L52" s="2">
        <f>H52</f>
        <v>0</v>
      </c>
      <c r="M52" s="1240" t="s">
        <v>166</v>
      </c>
      <c r="O52" s="1527" t="str">
        <f t="shared" si="19"/>
        <v>0.00%</v>
      </c>
      <c r="P52" s="2">
        <f>L52</f>
        <v>0</v>
      </c>
      <c r="Q52" s="1240"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4"/>
      <c r="B53" s="1326"/>
      <c r="D53" s="8">
        <f>SUM(D44:D52)</f>
        <v>0</v>
      </c>
      <c r="E53" s="1249"/>
      <c r="F53" s="2"/>
      <c r="G53" s="1527" t="str">
        <f t="shared" si="17"/>
        <v>0.00%</v>
      </c>
      <c r="H53" s="8">
        <f>SUM(H44:H52)</f>
        <v>0</v>
      </c>
      <c r="I53" s="1258"/>
      <c r="J53" s="29"/>
      <c r="K53" s="1527" t="str">
        <f t="shared" si="18"/>
        <v>0.00%</v>
      </c>
      <c r="L53" s="8">
        <f>SUM(L44:L52)</f>
        <v>0</v>
      </c>
      <c r="M53" s="1335"/>
      <c r="O53" s="1527" t="str">
        <f t="shared" si="19"/>
        <v>0.00%</v>
      </c>
      <c r="P53" s="8">
        <f>SUM(P44:P52)</f>
        <v>0</v>
      </c>
      <c r="Q53" s="1335"/>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5"/>
      <c r="B54" s="1326"/>
      <c r="E54" s="1249"/>
      <c r="F54" s="2"/>
      <c r="H54" s="2"/>
      <c r="I54" s="1257"/>
      <c r="J54" s="66"/>
      <c r="L54" s="2"/>
      <c r="M54" s="1335"/>
      <c r="Q54" s="1335"/>
      <c r="T54" s="2"/>
      <c r="U54" s="73"/>
      <c r="X54" s="2"/>
      <c r="Y54" s="73"/>
      <c r="AB54" s="2"/>
      <c r="AC54" s="73"/>
    </row>
    <row r="55" spans="1:29" hidden="1" x14ac:dyDescent="0.25">
      <c r="A55" s="154"/>
      <c r="B55" s="1323" t="s">
        <v>26</v>
      </c>
      <c r="D55" s="8">
        <f>SUM(D53,D41,D30)</f>
        <v>0</v>
      </c>
      <c r="E55" s="1249"/>
      <c r="F55" s="2"/>
      <c r="G55" s="1527" t="str">
        <f>IF(D55=0,"0.00%",(H55-D55)/D55)</f>
        <v>0.00%</v>
      </c>
      <c r="H55" s="8">
        <f>SUM(H53,H41,H30)</f>
        <v>0</v>
      </c>
      <c r="I55" s="1258"/>
      <c r="J55" s="29"/>
      <c r="K55" s="1527" t="str">
        <f>IF(H55=0,"0.00%",(L55-H55)/H55)</f>
        <v>0.00%</v>
      </c>
      <c r="L55" s="8">
        <f>SUM(L53,L41,L30)</f>
        <v>0</v>
      </c>
      <c r="M55" s="1335"/>
      <c r="O55" s="1527" t="str">
        <f>IF(L55=0,"0.00%",(P55-L55)/L55)</f>
        <v>0.00%</v>
      </c>
      <c r="P55" s="8">
        <f>SUM(P53,P41,P30)</f>
        <v>0</v>
      </c>
      <c r="Q55" s="1335"/>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6"/>
      <c r="E56" s="1249"/>
      <c r="F56" s="2"/>
      <c r="H56" s="2"/>
      <c r="I56" s="1257"/>
      <c r="J56" s="66"/>
      <c r="L56" s="2"/>
      <c r="M56" s="1335"/>
      <c r="Q56" s="1335"/>
      <c r="T56" s="2"/>
      <c r="U56" s="73"/>
      <c r="X56" s="2"/>
      <c r="Y56" s="73"/>
      <c r="AB56" s="2"/>
      <c r="AC56" s="73"/>
    </row>
    <row r="57" spans="1:29" hidden="1" x14ac:dyDescent="0.25">
      <c r="A57" s="153"/>
      <c r="E57" s="1249"/>
      <c r="F57" s="2"/>
      <c r="H57" s="2"/>
      <c r="I57" s="1257"/>
      <c r="J57" s="66"/>
      <c r="L57" s="2"/>
      <c r="M57" s="1335"/>
      <c r="Q57" s="1335"/>
      <c r="T57" s="2"/>
      <c r="U57" s="73"/>
      <c r="X57" s="2"/>
      <c r="Y57" s="73"/>
      <c r="AB57" s="2"/>
      <c r="AC57" s="73"/>
    </row>
    <row r="58" spans="1:29" x14ac:dyDescent="0.25">
      <c r="A58" s="156"/>
      <c r="B58" s="1327" t="s">
        <v>25</v>
      </c>
      <c r="C58" s="1259"/>
      <c r="E58" s="1249"/>
      <c r="F58" s="2"/>
      <c r="H58" s="2"/>
      <c r="I58" s="1257"/>
      <c r="J58" s="66"/>
      <c r="L58" s="2"/>
      <c r="M58" s="1335"/>
      <c r="Q58" s="1335"/>
      <c r="T58" s="2"/>
      <c r="U58" s="73"/>
      <c r="X58" s="2"/>
      <c r="Y58" s="73"/>
      <c r="AB58" s="2"/>
      <c r="AC58" s="73"/>
    </row>
    <row r="59" spans="1:29" x14ac:dyDescent="0.25">
      <c r="A59" s="153"/>
      <c r="B59" s="1326">
        <v>4310</v>
      </c>
      <c r="C59" s="1243" t="s">
        <v>286</v>
      </c>
      <c r="D59" s="2">
        <v>5469</v>
      </c>
      <c r="E59" s="1249"/>
      <c r="F59" s="2"/>
      <c r="G59" s="1527">
        <f t="shared" ref="G59:G66" si="23">IF(D59=0,"0.00%",(H59-D59)/D59)</f>
        <v>0.20680197476686779</v>
      </c>
      <c r="H59" s="3">
        <v>6600</v>
      </c>
      <c r="I59" s="1315" t="s">
        <v>174</v>
      </c>
      <c r="J59" s="61"/>
      <c r="K59" s="1527">
        <f>IF(H59=0,"0.00%",(L59-H59)/H59)</f>
        <v>0</v>
      </c>
      <c r="L59" s="3">
        <f>+H59</f>
        <v>6600</v>
      </c>
      <c r="M59" s="1315" t="s">
        <v>174</v>
      </c>
      <c r="O59" s="1527">
        <f>IF(L59=0,"0.00%",(P59-L59)/L59)</f>
        <v>0</v>
      </c>
      <c r="P59" s="3">
        <f>+L59</f>
        <v>6600</v>
      </c>
      <c r="Q59" s="1315" t="s">
        <v>174</v>
      </c>
      <c r="S59" s="83">
        <f>IF(P59=0,"0.00%",(T59-P59)/P59)</f>
        <v>0</v>
      </c>
      <c r="T59" s="3">
        <f>+P59</f>
        <v>6600</v>
      </c>
      <c r="U59" s="105" t="s">
        <v>174</v>
      </c>
      <c r="W59" s="83">
        <f t="shared" ref="W59:W66" si="24">IF(T59=0,"0.00%",(X59-T59)/T59)</f>
        <v>2.7272727272727271E-2</v>
      </c>
      <c r="X59" s="2">
        <f>ROUND(T59*(LEFT(Y59,5)+1),0)</f>
        <v>6780</v>
      </c>
      <c r="Y59" s="81" t="str">
        <f>TEXT('MYP Assumptions'!I72,"0.00%")&amp;", CPI"</f>
        <v>2.73%, CPI</v>
      </c>
      <c r="AA59" s="83">
        <f t="shared" ref="AA59:AA66" si="25">IF(X59=0,"0.00%",(AB59-X59)/X59)</f>
        <v>2.7286135693215339E-2</v>
      </c>
      <c r="AB59" s="2">
        <f>ROUND(X59*(LEFT(AC59,5)+1),0)</f>
        <v>6965</v>
      </c>
      <c r="AC59" s="81" t="str">
        <f>TEXT('MYP Assumptions'!J72,"0.00%")&amp;", CPI"</f>
        <v>2.73%, CPI</v>
      </c>
    </row>
    <row r="60" spans="1:29" hidden="1" x14ac:dyDescent="0.25">
      <c r="A60" s="153"/>
      <c r="B60" s="1326"/>
      <c r="D60" s="2">
        <v>0</v>
      </c>
      <c r="E60" s="1249"/>
      <c r="F60" s="2"/>
      <c r="G60" s="1527" t="str">
        <f t="shared" si="23"/>
        <v>0.00%</v>
      </c>
      <c r="H60" s="2">
        <f t="shared" ref="H60:H65" si="26">ROUND(D60*(LEFT(I60,5)+1),0)</f>
        <v>0</v>
      </c>
      <c r="I60" s="1240" t="str">
        <f>TEXT('MYP Assumptions'!E72,"0.00%")&amp;", CPI"</f>
        <v>3.11%, CPI</v>
      </c>
      <c r="J60" s="66"/>
      <c r="K60" s="1527" t="str">
        <f t="shared" ref="K60:K66" si="27">IF(H60=0,"0.00%",(L60-H60)/H60)</f>
        <v>0.00%</v>
      </c>
      <c r="L60" s="2">
        <f t="shared" ref="L60:L65" si="28">ROUND(H60*(LEFT(M60,5)+1),0)</f>
        <v>0</v>
      </c>
      <c r="M60" s="1240" t="str">
        <f>TEXT('MYP Assumptions'!F72,"0.00%")&amp;", CPI"</f>
        <v>3.19%, CPI</v>
      </c>
      <c r="O60" s="1527" t="str">
        <f t="shared" ref="O60:O66" si="29">IF(L60=0,"0.00%",(P60-L60)/L60)</f>
        <v>0.00%</v>
      </c>
      <c r="P60" s="2">
        <f t="shared" ref="P60:P65" si="30">ROUND(L60*(LEFT(Q60,5)+1),0)</f>
        <v>0</v>
      </c>
      <c r="Q60" s="1240" t="str">
        <f>TEXT('MYP Assumptions'!G72,"0.00%")&amp;", CPI"</f>
        <v>2.86%, CPI</v>
      </c>
      <c r="S60" s="83" t="str">
        <f t="shared" ref="S60:S66" si="31">IF(P60=0,"0.00%",(T60-P60)/P60)</f>
        <v>0.00%</v>
      </c>
      <c r="T60" s="2">
        <f t="shared" ref="T60:T65" si="32">ROUND(P60*(LEFT(U60,5)+1),0)</f>
        <v>0</v>
      </c>
      <c r="U60" s="81" t="str">
        <f>TEXT('MYP Assumptions'!H72,"0.00%")&amp;", CPI"</f>
        <v>2.73%, CPI</v>
      </c>
      <c r="W60" s="83" t="str">
        <f t="shared" si="24"/>
        <v>0.00%</v>
      </c>
      <c r="X60" s="2">
        <f t="shared" ref="X60:X65" si="33">ROUND(T60*(LEFT(Y60,5)+1),0)</f>
        <v>0</v>
      </c>
      <c r="Y60" s="81" t="str">
        <f>TEXT('MYP Assumptions'!I72,"0.00%")&amp;", CPI"</f>
        <v>2.73%, CPI</v>
      </c>
      <c r="AA60" s="83" t="str">
        <f t="shared" si="25"/>
        <v>0.00%</v>
      </c>
      <c r="AB60" s="2">
        <f t="shared" ref="AB60:AB65" si="34">ROUND(X60*(LEFT(AC60,5)+1),0)</f>
        <v>0</v>
      </c>
      <c r="AC60" s="81" t="str">
        <f>TEXT('MYP Assumptions'!J72,"0.00%")&amp;", CPI"</f>
        <v>2.73%, CPI</v>
      </c>
    </row>
    <row r="61" spans="1:29" hidden="1" x14ac:dyDescent="0.25">
      <c r="A61" s="153"/>
      <c r="B61" s="1326"/>
      <c r="D61" s="2">
        <v>0</v>
      </c>
      <c r="E61" s="1249"/>
      <c r="F61" s="2"/>
      <c r="G61" s="1527" t="str">
        <f t="shared" si="23"/>
        <v>0.00%</v>
      </c>
      <c r="H61" s="2">
        <f t="shared" si="26"/>
        <v>0</v>
      </c>
      <c r="I61" s="1240" t="str">
        <f>TEXT('MYP Assumptions'!E72,"0.00%")&amp;", CPI"</f>
        <v>3.11%, CPI</v>
      </c>
      <c r="J61" s="66"/>
      <c r="K61" s="1527" t="str">
        <f t="shared" si="27"/>
        <v>0.00%</v>
      </c>
      <c r="L61" s="2">
        <f t="shared" si="28"/>
        <v>0</v>
      </c>
      <c r="M61" s="1240" t="str">
        <f>TEXT('MYP Assumptions'!F72,"0.00%")&amp;", CPI"</f>
        <v>3.19%, CPI</v>
      </c>
      <c r="O61" s="1527" t="str">
        <f t="shared" si="29"/>
        <v>0.00%</v>
      </c>
      <c r="P61" s="2">
        <f t="shared" si="30"/>
        <v>0</v>
      </c>
      <c r="Q61" s="1240" t="str">
        <f>TEXT('MYP Assumptions'!G72,"0.00%")&amp;", CPI"</f>
        <v>2.86%, CPI</v>
      </c>
      <c r="S61" s="83" t="str">
        <f t="shared" si="31"/>
        <v>0.00%</v>
      </c>
      <c r="T61" s="2">
        <f t="shared" si="32"/>
        <v>0</v>
      </c>
      <c r="U61" s="81" t="str">
        <f>TEXT('MYP Assumptions'!H72,"0.00%")&amp;", CPI"</f>
        <v>2.73%, CPI</v>
      </c>
      <c r="W61" s="83" t="str">
        <f t="shared" si="24"/>
        <v>0.00%</v>
      </c>
      <c r="X61" s="2">
        <f t="shared" si="33"/>
        <v>0</v>
      </c>
      <c r="Y61" s="81" t="str">
        <f>TEXT('MYP Assumptions'!I72,"0.00%")&amp;", CPI"</f>
        <v>2.73%, CPI</v>
      </c>
      <c r="AA61" s="83" t="str">
        <f t="shared" si="25"/>
        <v>0.00%</v>
      </c>
      <c r="AB61" s="2">
        <f t="shared" si="34"/>
        <v>0</v>
      </c>
      <c r="AC61" s="81" t="str">
        <f>TEXT('MYP Assumptions'!J72,"0.00%")&amp;", CPI"</f>
        <v>2.73%, CPI</v>
      </c>
    </row>
    <row r="62" spans="1:29" hidden="1" x14ac:dyDescent="0.25">
      <c r="A62" s="153"/>
      <c r="B62" s="1326"/>
      <c r="D62" s="2">
        <v>0</v>
      </c>
      <c r="E62" s="1249"/>
      <c r="F62" s="2"/>
      <c r="G62" s="1527" t="str">
        <f t="shared" si="23"/>
        <v>0.00%</v>
      </c>
      <c r="H62" s="2">
        <f t="shared" si="26"/>
        <v>0</v>
      </c>
      <c r="I62" s="1240" t="str">
        <f>TEXT('MYP Assumptions'!E72,"0.00%")&amp;", CPI"</f>
        <v>3.11%, CPI</v>
      </c>
      <c r="J62" s="66"/>
      <c r="K62" s="1527" t="str">
        <f t="shared" si="27"/>
        <v>0.00%</v>
      </c>
      <c r="L62" s="2">
        <f t="shared" si="28"/>
        <v>0</v>
      </c>
      <c r="M62" s="1240" t="str">
        <f>TEXT('MYP Assumptions'!F72,"0.00%")&amp;", CPI"</f>
        <v>3.19%, CPI</v>
      </c>
      <c r="O62" s="1527" t="str">
        <f t="shared" si="29"/>
        <v>0.00%</v>
      </c>
      <c r="P62" s="2">
        <f t="shared" si="30"/>
        <v>0</v>
      </c>
      <c r="Q62" s="1240" t="str">
        <f>TEXT('MYP Assumptions'!G72,"0.00%")&amp;", CPI"</f>
        <v>2.86%, CPI</v>
      </c>
      <c r="S62" s="83" t="str">
        <f t="shared" si="31"/>
        <v>0.00%</v>
      </c>
      <c r="T62" s="2">
        <f t="shared" si="32"/>
        <v>0</v>
      </c>
      <c r="U62" s="81" t="str">
        <f>TEXT('MYP Assumptions'!H72,"0.00%")&amp;", CPI"</f>
        <v>2.73%, CPI</v>
      </c>
      <c r="W62" s="83" t="str">
        <f t="shared" si="24"/>
        <v>0.00%</v>
      </c>
      <c r="X62" s="2">
        <f t="shared" si="33"/>
        <v>0</v>
      </c>
      <c r="Y62" s="81" t="str">
        <f>TEXT('MYP Assumptions'!I72,"0.00%")&amp;", CPI"</f>
        <v>2.73%, CPI</v>
      </c>
      <c r="AA62" s="83" t="str">
        <f t="shared" si="25"/>
        <v>0.00%</v>
      </c>
      <c r="AB62" s="2">
        <f t="shared" si="34"/>
        <v>0</v>
      </c>
      <c r="AC62" s="81" t="str">
        <f>TEXT('MYP Assumptions'!J72,"0.00%")&amp;", CPI"</f>
        <v>2.73%, CPI</v>
      </c>
    </row>
    <row r="63" spans="1:29" hidden="1" x14ac:dyDescent="0.25">
      <c r="A63" s="153"/>
      <c r="B63" s="1326"/>
      <c r="D63" s="2">
        <v>0</v>
      </c>
      <c r="E63" s="1249"/>
      <c r="F63" s="2"/>
      <c r="G63" s="1527" t="str">
        <f t="shared" si="23"/>
        <v>0.00%</v>
      </c>
      <c r="H63" s="2">
        <f t="shared" si="26"/>
        <v>0</v>
      </c>
      <c r="I63" s="1240" t="str">
        <f>TEXT('MYP Assumptions'!E72,"0.00%")&amp;", CPI"</f>
        <v>3.11%, CPI</v>
      </c>
      <c r="J63" s="66"/>
      <c r="K63" s="1527" t="str">
        <f t="shared" si="27"/>
        <v>0.00%</v>
      </c>
      <c r="L63" s="2">
        <f t="shared" si="28"/>
        <v>0</v>
      </c>
      <c r="M63" s="1240" t="str">
        <f>TEXT('MYP Assumptions'!F72,"0.00%")&amp;", CPI"</f>
        <v>3.19%, CPI</v>
      </c>
      <c r="O63" s="1527" t="str">
        <f t="shared" si="29"/>
        <v>0.00%</v>
      </c>
      <c r="P63" s="2">
        <f t="shared" si="30"/>
        <v>0</v>
      </c>
      <c r="Q63" s="1240" t="str">
        <f>TEXT('MYP Assumptions'!G72,"0.00%")&amp;", CPI"</f>
        <v>2.86%, CPI</v>
      </c>
      <c r="S63" s="83" t="str">
        <f t="shared" si="31"/>
        <v>0.00%</v>
      </c>
      <c r="T63" s="2">
        <f t="shared" si="32"/>
        <v>0</v>
      </c>
      <c r="U63" s="81" t="str">
        <f>TEXT('MYP Assumptions'!H72,"0.00%")&amp;", CPI"</f>
        <v>2.73%, CPI</v>
      </c>
      <c r="W63" s="83" t="str">
        <f t="shared" si="24"/>
        <v>0.00%</v>
      </c>
      <c r="X63" s="2">
        <f t="shared" si="33"/>
        <v>0</v>
      </c>
      <c r="Y63" s="81" t="str">
        <f>TEXT('MYP Assumptions'!I72,"0.00%")&amp;", CPI"</f>
        <v>2.73%, CPI</v>
      </c>
      <c r="AA63" s="83" t="str">
        <f t="shared" si="25"/>
        <v>0.00%</v>
      </c>
      <c r="AB63" s="2">
        <f t="shared" si="34"/>
        <v>0</v>
      </c>
      <c r="AC63" s="81" t="str">
        <f>TEXT('MYP Assumptions'!J72,"0.00%")&amp;", CPI"</f>
        <v>2.73%, CPI</v>
      </c>
    </row>
    <row r="64" spans="1:29" hidden="1" x14ac:dyDescent="0.25">
      <c r="A64" s="153"/>
      <c r="B64" s="1326"/>
      <c r="D64" s="2">
        <v>0</v>
      </c>
      <c r="E64" s="1249"/>
      <c r="F64" s="2"/>
      <c r="G64" s="1527" t="str">
        <f t="shared" si="23"/>
        <v>0.00%</v>
      </c>
      <c r="H64" s="2">
        <f t="shared" si="26"/>
        <v>0</v>
      </c>
      <c r="I64" s="1240" t="str">
        <f>TEXT('MYP Assumptions'!E72,"0.00%")&amp;", CPI"</f>
        <v>3.11%, CPI</v>
      </c>
      <c r="J64" s="66"/>
      <c r="K64" s="1527" t="str">
        <f t="shared" si="27"/>
        <v>0.00%</v>
      </c>
      <c r="L64" s="2">
        <f t="shared" si="28"/>
        <v>0</v>
      </c>
      <c r="M64" s="1240" t="str">
        <f>TEXT('MYP Assumptions'!F72,"0.00%")&amp;", CPI"</f>
        <v>3.19%, CPI</v>
      </c>
      <c r="O64" s="1527" t="str">
        <f t="shared" si="29"/>
        <v>0.00%</v>
      </c>
      <c r="P64" s="2">
        <f t="shared" si="30"/>
        <v>0</v>
      </c>
      <c r="Q64" s="1240" t="str">
        <f>TEXT('MYP Assumptions'!G72,"0.00%")&amp;", CPI"</f>
        <v>2.86%, CPI</v>
      </c>
      <c r="S64" s="83" t="str">
        <f t="shared" si="31"/>
        <v>0.00%</v>
      </c>
      <c r="T64" s="2">
        <f t="shared" si="32"/>
        <v>0</v>
      </c>
      <c r="U64" s="81" t="str">
        <f>TEXT('MYP Assumptions'!H72,"0.00%")&amp;", CPI"</f>
        <v>2.73%, CPI</v>
      </c>
      <c r="W64" s="83" t="str">
        <f t="shared" si="24"/>
        <v>0.00%</v>
      </c>
      <c r="X64" s="2">
        <f t="shared" si="33"/>
        <v>0</v>
      </c>
      <c r="Y64" s="81" t="str">
        <f>TEXT('MYP Assumptions'!I72,"0.00%")&amp;", CPI"</f>
        <v>2.73%, CPI</v>
      </c>
      <c r="AA64" s="83" t="str">
        <f t="shared" si="25"/>
        <v>0.00%</v>
      </c>
      <c r="AB64" s="2">
        <f t="shared" si="34"/>
        <v>0</v>
      </c>
      <c r="AC64" s="81" t="str">
        <f>TEXT('MYP Assumptions'!J72,"0.00%")&amp;", CPI"</f>
        <v>2.73%, CPI</v>
      </c>
    </row>
    <row r="65" spans="1:29" hidden="1" x14ac:dyDescent="0.25">
      <c r="A65" s="153"/>
      <c r="B65" s="1326"/>
      <c r="C65" s="1328"/>
      <c r="D65" s="2">
        <v>0</v>
      </c>
      <c r="E65" s="1249"/>
      <c r="F65" s="2"/>
      <c r="G65" s="1527" t="str">
        <f t="shared" si="23"/>
        <v>0.00%</v>
      </c>
      <c r="H65" s="2">
        <f t="shared" si="26"/>
        <v>0</v>
      </c>
      <c r="I65" s="1240" t="str">
        <f>TEXT('MYP Assumptions'!E72,"0.00%")&amp;", CPI"</f>
        <v>3.11%, CPI</v>
      </c>
      <c r="J65" s="66"/>
      <c r="K65" s="1527" t="str">
        <f t="shared" si="27"/>
        <v>0.00%</v>
      </c>
      <c r="L65" s="2">
        <f t="shared" si="28"/>
        <v>0</v>
      </c>
      <c r="M65" s="1240" t="str">
        <f>TEXT('MYP Assumptions'!F72,"0.00%")&amp;", CPI"</f>
        <v>3.19%, CPI</v>
      </c>
      <c r="O65" s="1527" t="str">
        <f t="shared" si="29"/>
        <v>0.00%</v>
      </c>
      <c r="P65" s="2">
        <f t="shared" si="30"/>
        <v>0</v>
      </c>
      <c r="Q65" s="1240" t="str">
        <f>TEXT('MYP Assumptions'!G72,"0.00%")&amp;", CPI"</f>
        <v>2.86%, CPI</v>
      </c>
      <c r="S65" s="83" t="str">
        <f t="shared" si="31"/>
        <v>0.00%</v>
      </c>
      <c r="T65" s="2">
        <f t="shared" si="32"/>
        <v>0</v>
      </c>
      <c r="U65" s="81" t="str">
        <f>TEXT('MYP Assumptions'!H72,"0.00%")&amp;", CPI"</f>
        <v>2.73%, CPI</v>
      </c>
      <c r="W65" s="83" t="str">
        <f t="shared" si="24"/>
        <v>0.00%</v>
      </c>
      <c r="X65" s="2">
        <f t="shared" si="33"/>
        <v>0</v>
      </c>
      <c r="Y65" s="81" t="str">
        <f>TEXT('MYP Assumptions'!I72,"0.00%")&amp;", CPI"</f>
        <v>2.73%, CPI</v>
      </c>
      <c r="AA65" s="83" t="str">
        <f t="shared" si="25"/>
        <v>0.00%</v>
      </c>
      <c r="AB65" s="2">
        <f t="shared" si="34"/>
        <v>0</v>
      </c>
      <c r="AC65" s="81" t="str">
        <f>TEXT('MYP Assumptions'!J72,"0.00%")&amp;", CPI"</f>
        <v>2.73%, CPI</v>
      </c>
    </row>
    <row r="66" spans="1:29" x14ac:dyDescent="0.25">
      <c r="A66" s="154"/>
      <c r="B66" s="1243"/>
      <c r="D66" s="8">
        <f>SUM(D59:D65)</f>
        <v>5469</v>
      </c>
      <c r="E66" s="1249"/>
      <c r="F66" s="2"/>
      <c r="G66" s="1527">
        <f t="shared" si="23"/>
        <v>0.20680197476686779</v>
      </c>
      <c r="H66" s="8">
        <f>SUM(H59:H65)</f>
        <v>6600</v>
      </c>
      <c r="I66" s="1258"/>
      <c r="J66" s="29"/>
      <c r="K66" s="1527">
        <f t="shared" si="27"/>
        <v>0</v>
      </c>
      <c r="L66" s="8">
        <f>SUM(L59:L65)</f>
        <v>6600</v>
      </c>
      <c r="M66" s="1335"/>
      <c r="O66" s="1527">
        <f t="shared" si="29"/>
        <v>0</v>
      </c>
      <c r="P66" s="8">
        <f>SUM(P59:P65)</f>
        <v>6600</v>
      </c>
      <c r="Q66" s="1335"/>
      <c r="S66" s="83">
        <f t="shared" si="31"/>
        <v>0</v>
      </c>
      <c r="T66" s="8">
        <f>SUM(T59:T65)</f>
        <v>6600</v>
      </c>
      <c r="U66" s="73"/>
      <c r="W66" s="83">
        <f t="shared" si="24"/>
        <v>2.7272727272727271E-2</v>
      </c>
      <c r="X66" s="8">
        <f>SUM(X59:X65)</f>
        <v>6780</v>
      </c>
      <c r="Y66" s="73"/>
      <c r="AA66" s="83">
        <f t="shared" si="25"/>
        <v>2.7286135693215339E-2</v>
      </c>
      <c r="AB66" s="8">
        <f>SUM(AB59:AB65)</f>
        <v>6965</v>
      </c>
      <c r="AC66" s="73"/>
    </row>
    <row r="67" spans="1:29" x14ac:dyDescent="0.25">
      <c r="A67" s="153"/>
      <c r="E67" s="1249"/>
      <c r="F67" s="2"/>
      <c r="H67" s="2"/>
      <c r="I67" s="1257"/>
      <c r="J67" s="66"/>
      <c r="L67" s="2"/>
      <c r="M67" s="1335"/>
      <c r="Q67" s="1335"/>
      <c r="T67" s="2"/>
      <c r="U67" s="73"/>
      <c r="X67" s="2"/>
      <c r="Y67" s="73"/>
      <c r="AB67" s="2"/>
      <c r="AC67" s="73"/>
    </row>
    <row r="68" spans="1:29" s="4" customFormat="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x14ac:dyDescent="0.25">
      <c r="A69" s="153"/>
      <c r="B69" s="1326">
        <v>5813</v>
      </c>
      <c r="C69" s="1243" t="s">
        <v>6</v>
      </c>
      <c r="D69" s="2">
        <v>2631</v>
      </c>
      <c r="E69" s="1249"/>
      <c r="F69" s="2"/>
      <c r="G69" s="1527">
        <f t="shared" ref="G69:G74" si="35">IF(D69=0,"0.00%",(H69-D69)/D69)</f>
        <v>-0.4298745724059293</v>
      </c>
      <c r="H69" s="3">
        <v>1500</v>
      </c>
      <c r="I69" s="1315" t="s">
        <v>174</v>
      </c>
      <c r="J69" s="61"/>
      <c r="K69" s="1527">
        <f>IF(H69=0,"0.00%",(L69-H69)/H69)</f>
        <v>0</v>
      </c>
      <c r="L69" s="3">
        <f>+H69</f>
        <v>1500</v>
      </c>
      <c r="M69" s="1315" t="s">
        <v>174</v>
      </c>
      <c r="O69" s="1527">
        <f>IF(L69=0,"0.00%",(P69-L69)/L69)</f>
        <v>0</v>
      </c>
      <c r="P69" s="3">
        <f>+L69</f>
        <v>1500</v>
      </c>
      <c r="Q69" s="1315" t="s">
        <v>174</v>
      </c>
      <c r="S69" s="83">
        <f>IF(P69=0,"0.00%",(T69-P69)/P69)</f>
        <v>0</v>
      </c>
      <c r="T69" s="3">
        <f>+P69</f>
        <v>1500</v>
      </c>
      <c r="U69" s="105" t="s">
        <v>174</v>
      </c>
      <c r="W69" s="83">
        <f t="shared" ref="W69:W82" si="36">IF(T69=0,"0.00%",(X69-T69)/T69)</f>
        <v>2.7333333333333334E-2</v>
      </c>
      <c r="X69" s="2">
        <f>ROUND(T69*(LEFT(Y69,5)+1),0)</f>
        <v>1541</v>
      </c>
      <c r="Y69" s="81" t="str">
        <f>TEXT('MYP Assumptions'!I72,"0.00%")&amp;", CPI"</f>
        <v>2.73%, CPI</v>
      </c>
      <c r="AA69" s="83">
        <f t="shared" ref="AA69:AA82" si="37">IF(X69=0,"0.00%",(AB69-X69)/X69)</f>
        <v>2.7255029201817001E-2</v>
      </c>
      <c r="AB69" s="2">
        <f>ROUND(X69*(LEFT(AC69,5)+1),0)</f>
        <v>1583</v>
      </c>
      <c r="AC69" s="81" t="str">
        <f>TEXT('MYP Assumptions'!J72,"0.00%")&amp;", CPI"</f>
        <v>2.73%, CPI</v>
      </c>
    </row>
    <row r="70" spans="1:29" hidden="1" x14ac:dyDescent="0.25">
      <c r="A70" s="153"/>
      <c r="B70" s="1326"/>
      <c r="D70" s="2">
        <v>0</v>
      </c>
      <c r="E70" s="1249"/>
      <c r="F70" s="2"/>
      <c r="G70" s="1527" t="str">
        <f t="shared" si="35"/>
        <v>0.00%</v>
      </c>
      <c r="H70" s="2">
        <f>ROUND(D70*(LEFT(I70,5)+1),0)</f>
        <v>0</v>
      </c>
      <c r="I70" s="1240" t="str">
        <f>TEXT('MYP Assumptions'!E72,"0.00%")&amp;", CPI"</f>
        <v>3.11%, CPI</v>
      </c>
      <c r="J70" s="66"/>
      <c r="K70" s="1527" t="str">
        <f t="shared" ref="K70:K82" si="38">IF(H70=0,"0.00%",(L70-H70)/H70)</f>
        <v>0.00%</v>
      </c>
      <c r="L70" s="2">
        <f t="shared" ref="L70:L81" si="39">ROUND(H70*(LEFT(M70,5)+1),0)</f>
        <v>0</v>
      </c>
      <c r="M70" s="1240" t="str">
        <f>TEXT('MYP Assumptions'!F72,"0.00%")&amp;", CPI"</f>
        <v>3.19%, CPI</v>
      </c>
      <c r="O70" s="1527" t="str">
        <f t="shared" ref="O70:O82" si="40">IF(L70=0,"0.00%",(P70-L70)/L70)</f>
        <v>0.00%</v>
      </c>
      <c r="P70" s="2">
        <f t="shared" ref="P70:P81" si="41">ROUND(L70*(LEFT(Q70,5)+1),0)</f>
        <v>0</v>
      </c>
      <c r="Q70" s="1240" t="str">
        <f>TEXT('MYP Assumptions'!G72,"0.00%")&amp;", CPI"</f>
        <v>2.86%, CPI</v>
      </c>
      <c r="S70" s="83" t="str">
        <f t="shared" ref="S70:S82" si="42">IF(P70=0,"0.00%",(T70-P70)/P70)</f>
        <v>0.00%</v>
      </c>
      <c r="T70" s="2">
        <f t="shared" ref="T70:T81" si="43">ROUND(P70*(LEFT(U70,5)+1),0)</f>
        <v>0</v>
      </c>
      <c r="U70" s="81" t="str">
        <f>TEXT('MYP Assumptions'!H72,"0.00%")&amp;", CPI"</f>
        <v>2.73%, CPI</v>
      </c>
      <c r="W70" s="83" t="str">
        <f t="shared" si="36"/>
        <v>0.00%</v>
      </c>
      <c r="X70" s="2">
        <f t="shared" ref="X70:X81" si="44">ROUND(T70*(LEFT(Y70,5)+1),0)</f>
        <v>0</v>
      </c>
      <c r="Y70" s="81" t="str">
        <f>TEXT('MYP Assumptions'!I72,"0.00%")&amp;", CPI"</f>
        <v>2.73%, CPI</v>
      </c>
      <c r="AA70" s="83" t="str">
        <f t="shared" si="37"/>
        <v>0.00%</v>
      </c>
      <c r="AB70" s="2">
        <f t="shared" ref="AB70:AB81" si="45">ROUND(X70*(LEFT(AC70,5)+1),0)</f>
        <v>0</v>
      </c>
      <c r="AC70" s="81" t="str">
        <f>TEXT('MYP Assumptions'!J72,"0.00%")&amp;", CPI"</f>
        <v>2.73%, CPI</v>
      </c>
    </row>
    <row r="71" spans="1:29" hidden="1" x14ac:dyDescent="0.25">
      <c r="A71" s="153"/>
      <c r="B71" s="1326"/>
      <c r="D71" s="2">
        <v>0</v>
      </c>
      <c r="E71" s="1249"/>
      <c r="F71" s="2"/>
      <c r="G71" s="1527" t="str">
        <f t="shared" si="35"/>
        <v>0.00%</v>
      </c>
      <c r="H71" s="2">
        <f t="shared" ref="H71:H76" si="46">ROUND(D71*(LEFT(I71,5)+1),0)</f>
        <v>0</v>
      </c>
      <c r="I71" s="1240" t="str">
        <f>TEXT('MYP Assumptions'!E72,"0.00%")&amp;", CPI"</f>
        <v>3.11%, CPI</v>
      </c>
      <c r="J71" s="66"/>
      <c r="K71" s="1527" t="str">
        <f t="shared" si="38"/>
        <v>0.00%</v>
      </c>
      <c r="L71" s="2">
        <f t="shared" si="39"/>
        <v>0</v>
      </c>
      <c r="M71" s="1240" t="str">
        <f>TEXT('MYP Assumptions'!F72,"0.00%")&amp;", CPI"</f>
        <v>3.19%, CPI</v>
      </c>
      <c r="O71" s="1527" t="str">
        <f t="shared" si="40"/>
        <v>0.00%</v>
      </c>
      <c r="P71" s="2">
        <f t="shared" si="41"/>
        <v>0</v>
      </c>
      <c r="Q71" s="1240" t="str">
        <f>TEXT('MYP Assumptions'!G72,"0.00%")&amp;", CPI"</f>
        <v>2.86%, CPI</v>
      </c>
      <c r="S71" s="83" t="str">
        <f t="shared" si="42"/>
        <v>0.00%</v>
      </c>
      <c r="T71" s="2">
        <f t="shared" si="43"/>
        <v>0</v>
      </c>
      <c r="U71" s="81" t="str">
        <f>TEXT('MYP Assumptions'!H72,"0.00%")&amp;", CPI"</f>
        <v>2.73%, CPI</v>
      </c>
      <c r="W71" s="83" t="str">
        <f t="shared" si="36"/>
        <v>0.00%</v>
      </c>
      <c r="X71" s="2">
        <f t="shared" si="44"/>
        <v>0</v>
      </c>
      <c r="Y71" s="81" t="str">
        <f>TEXT('MYP Assumptions'!I72,"0.00%")&amp;", CPI"</f>
        <v>2.73%, CPI</v>
      </c>
      <c r="AA71" s="83" t="str">
        <f t="shared" si="37"/>
        <v>0.00%</v>
      </c>
      <c r="AB71" s="2">
        <f t="shared" si="45"/>
        <v>0</v>
      </c>
      <c r="AC71" s="81" t="str">
        <f>TEXT('MYP Assumptions'!J72,"0.00%")&amp;", CPI"</f>
        <v>2.73%, CPI</v>
      </c>
    </row>
    <row r="72" spans="1:29" hidden="1" x14ac:dyDescent="0.25">
      <c r="A72" s="153"/>
      <c r="B72" s="1326"/>
      <c r="D72" s="2">
        <v>0</v>
      </c>
      <c r="E72" s="1249"/>
      <c r="F72" s="2"/>
      <c r="G72" s="1527" t="str">
        <f t="shared" si="35"/>
        <v>0.00%</v>
      </c>
      <c r="H72" s="2">
        <f t="shared" si="46"/>
        <v>0</v>
      </c>
      <c r="I72" s="1240" t="str">
        <f>TEXT('MYP Assumptions'!E72,"0.00%")&amp;", CPI"</f>
        <v>3.11%, CPI</v>
      </c>
      <c r="J72" s="66"/>
      <c r="K72" s="1527" t="str">
        <f t="shared" si="38"/>
        <v>0.00%</v>
      </c>
      <c r="L72" s="2">
        <f t="shared" si="39"/>
        <v>0</v>
      </c>
      <c r="M72" s="1240" t="str">
        <f>TEXT('MYP Assumptions'!F72,"0.00%")&amp;", CPI"</f>
        <v>3.19%, CPI</v>
      </c>
      <c r="O72" s="1527" t="str">
        <f t="shared" si="40"/>
        <v>0.00%</v>
      </c>
      <c r="P72" s="2">
        <f t="shared" si="41"/>
        <v>0</v>
      </c>
      <c r="Q72" s="1240" t="str">
        <f>TEXT('MYP Assumptions'!G72,"0.00%")&amp;", CPI"</f>
        <v>2.86%, CPI</v>
      </c>
      <c r="S72" s="83" t="str">
        <f t="shared" si="42"/>
        <v>0.00%</v>
      </c>
      <c r="T72" s="2">
        <f t="shared" si="43"/>
        <v>0</v>
      </c>
      <c r="U72" s="81" t="str">
        <f>TEXT('MYP Assumptions'!H72,"0.00%")&amp;", CPI"</f>
        <v>2.73%, CPI</v>
      </c>
      <c r="W72" s="83" t="str">
        <f t="shared" si="36"/>
        <v>0.00%</v>
      </c>
      <c r="X72" s="2">
        <f t="shared" si="44"/>
        <v>0</v>
      </c>
      <c r="Y72" s="81" t="str">
        <f>TEXT('MYP Assumptions'!I72,"0.00%")&amp;", CPI"</f>
        <v>2.73%, CPI</v>
      </c>
      <c r="AA72" s="83" t="str">
        <f t="shared" si="37"/>
        <v>0.00%</v>
      </c>
      <c r="AB72" s="2">
        <f t="shared" si="45"/>
        <v>0</v>
      </c>
      <c r="AC72" s="81" t="str">
        <f>TEXT('MYP Assumptions'!J72,"0.00%")&amp;", CPI"</f>
        <v>2.73%, CPI</v>
      </c>
    </row>
    <row r="73" spans="1:29" hidden="1" x14ac:dyDescent="0.25">
      <c r="A73" s="153"/>
      <c r="B73" s="1326"/>
      <c r="D73" s="2">
        <v>0</v>
      </c>
      <c r="E73" s="1249"/>
      <c r="F73" s="2"/>
      <c r="G73" s="1527" t="str">
        <f t="shared" si="35"/>
        <v>0.00%</v>
      </c>
      <c r="H73" s="2">
        <f t="shared" si="46"/>
        <v>0</v>
      </c>
      <c r="I73" s="1240" t="str">
        <f>TEXT('MYP Assumptions'!E72,"0.00%")&amp;", CPI"</f>
        <v>3.11%, CPI</v>
      </c>
      <c r="J73" s="66"/>
      <c r="K73" s="1527" t="str">
        <f t="shared" si="38"/>
        <v>0.00%</v>
      </c>
      <c r="L73" s="2">
        <f t="shared" si="39"/>
        <v>0</v>
      </c>
      <c r="M73" s="1240" t="str">
        <f>TEXT('MYP Assumptions'!F72,"0.00%")&amp;", CPI"</f>
        <v>3.19%, CPI</v>
      </c>
      <c r="O73" s="1527" t="str">
        <f t="shared" si="40"/>
        <v>0.00%</v>
      </c>
      <c r="P73" s="2">
        <f t="shared" si="41"/>
        <v>0</v>
      </c>
      <c r="Q73" s="1240" t="str">
        <f>TEXT('MYP Assumptions'!G72,"0.00%")&amp;", CPI"</f>
        <v>2.86%, CPI</v>
      </c>
      <c r="S73" s="83" t="str">
        <f t="shared" si="42"/>
        <v>0.00%</v>
      </c>
      <c r="T73" s="2">
        <f t="shared" si="43"/>
        <v>0</v>
      </c>
      <c r="U73" s="81" t="str">
        <f>TEXT('MYP Assumptions'!H72,"0.00%")&amp;", CPI"</f>
        <v>2.73%, CPI</v>
      </c>
      <c r="W73" s="83" t="str">
        <f t="shared" si="36"/>
        <v>0.00%</v>
      </c>
      <c r="X73" s="2">
        <f t="shared" si="44"/>
        <v>0</v>
      </c>
      <c r="Y73" s="81" t="str">
        <f>TEXT('MYP Assumptions'!I72,"0.00%")&amp;", CPI"</f>
        <v>2.73%, CPI</v>
      </c>
      <c r="AA73" s="83" t="str">
        <f t="shared" si="37"/>
        <v>0.00%</v>
      </c>
      <c r="AB73" s="2">
        <f t="shared" si="45"/>
        <v>0</v>
      </c>
      <c r="AC73" s="81" t="str">
        <f>TEXT('MYP Assumptions'!J72,"0.00%")&amp;", CPI"</f>
        <v>2.73%, CPI</v>
      </c>
    </row>
    <row r="74" spans="1:29" hidden="1" x14ac:dyDescent="0.25">
      <c r="A74" s="153"/>
      <c r="B74" s="1326"/>
      <c r="D74" s="2">
        <v>0</v>
      </c>
      <c r="E74" s="1249"/>
      <c r="F74" s="2"/>
      <c r="G74" s="1527" t="str">
        <f t="shared" si="35"/>
        <v>0.00%</v>
      </c>
      <c r="H74" s="2">
        <f t="shared" si="46"/>
        <v>0</v>
      </c>
      <c r="I74" s="1240" t="str">
        <f>TEXT('MYP Assumptions'!E72,"0.00%")&amp;", CPI"</f>
        <v>3.11%, CPI</v>
      </c>
      <c r="J74" s="66"/>
      <c r="K74" s="1527" t="str">
        <f t="shared" si="38"/>
        <v>0.00%</v>
      </c>
      <c r="L74" s="2">
        <f t="shared" si="39"/>
        <v>0</v>
      </c>
      <c r="M74" s="1240" t="str">
        <f>TEXT('MYP Assumptions'!F72,"0.00%")&amp;", CPI"</f>
        <v>3.19%, CPI</v>
      </c>
      <c r="O74" s="1527" t="str">
        <f t="shared" si="40"/>
        <v>0.00%</v>
      </c>
      <c r="P74" s="2">
        <f t="shared" si="41"/>
        <v>0</v>
      </c>
      <c r="Q74" s="1240" t="str">
        <f>TEXT('MYP Assumptions'!G72,"0.00%")&amp;", CPI"</f>
        <v>2.86%, CPI</v>
      </c>
      <c r="S74" s="83" t="str">
        <f t="shared" si="42"/>
        <v>0.00%</v>
      </c>
      <c r="T74" s="2">
        <f t="shared" si="43"/>
        <v>0</v>
      </c>
      <c r="U74" s="81" t="str">
        <f>TEXT('MYP Assumptions'!H72,"0.00%")&amp;", CPI"</f>
        <v>2.73%, CPI</v>
      </c>
      <c r="W74" s="83" t="str">
        <f t="shared" si="36"/>
        <v>0.00%</v>
      </c>
      <c r="X74" s="2">
        <f t="shared" si="44"/>
        <v>0</v>
      </c>
      <c r="Y74" s="81" t="str">
        <f>TEXT('MYP Assumptions'!I72,"0.00%")&amp;", CPI"</f>
        <v>2.73%, CPI</v>
      </c>
      <c r="AA74" s="83" t="str">
        <f t="shared" si="37"/>
        <v>0.00%</v>
      </c>
      <c r="AB74" s="2">
        <f t="shared" si="45"/>
        <v>0</v>
      </c>
      <c r="AC74" s="81" t="str">
        <f>TEXT('MYP Assumptions'!J72,"0.00%")&amp;", CPI"</f>
        <v>2.73%, CPI</v>
      </c>
    </row>
    <row r="75" spans="1:29" hidden="1" x14ac:dyDescent="0.25">
      <c r="A75" s="153"/>
      <c r="B75" s="1326"/>
      <c r="D75" s="2">
        <v>0</v>
      </c>
      <c r="E75" s="1249"/>
      <c r="F75" s="2"/>
      <c r="G75" s="1527" t="str">
        <f>IF(D75=0,"0.00%",(H75-D75)/D75)</f>
        <v>0.00%</v>
      </c>
      <c r="H75" s="2">
        <f t="shared" si="46"/>
        <v>0</v>
      </c>
      <c r="I75" s="1240" t="str">
        <f>TEXT('MYP Assumptions'!E72,"0.00%")&amp;", CPI"</f>
        <v>3.11%, CPI</v>
      </c>
      <c r="J75" s="66"/>
      <c r="K75" s="1527" t="str">
        <f t="shared" si="38"/>
        <v>0.00%</v>
      </c>
      <c r="L75" s="2">
        <f t="shared" si="39"/>
        <v>0</v>
      </c>
      <c r="M75" s="1240" t="str">
        <f>TEXT('MYP Assumptions'!F72,"0.00%")&amp;", CPI"</f>
        <v>3.19%, CPI</v>
      </c>
      <c r="O75" s="1527" t="str">
        <f t="shared" si="40"/>
        <v>0.00%</v>
      </c>
      <c r="P75" s="2">
        <f t="shared" si="41"/>
        <v>0</v>
      </c>
      <c r="Q75" s="1240" t="str">
        <f>TEXT('MYP Assumptions'!G72,"0.00%")&amp;", CPI"</f>
        <v>2.86%, CPI</v>
      </c>
      <c r="S75" s="83" t="str">
        <f t="shared" si="42"/>
        <v>0.00%</v>
      </c>
      <c r="T75" s="2">
        <f t="shared" si="43"/>
        <v>0</v>
      </c>
      <c r="U75" s="81" t="str">
        <f>TEXT('MYP Assumptions'!H72,"0.00%")&amp;", CPI"</f>
        <v>2.73%, CPI</v>
      </c>
      <c r="W75" s="83" t="str">
        <f t="shared" si="36"/>
        <v>0.00%</v>
      </c>
      <c r="X75" s="2">
        <f t="shared" si="44"/>
        <v>0</v>
      </c>
      <c r="Y75" s="81" t="str">
        <f>TEXT('MYP Assumptions'!I72,"0.00%")&amp;", CPI"</f>
        <v>2.73%, CPI</v>
      </c>
      <c r="AA75" s="83" t="str">
        <f t="shared" si="37"/>
        <v>0.00%</v>
      </c>
      <c r="AB75" s="2">
        <f t="shared" si="45"/>
        <v>0</v>
      </c>
      <c r="AC75" s="81" t="str">
        <f>TEXT('MYP Assumptions'!J72,"0.00%")&amp;", CPI"</f>
        <v>2.73%, CPI</v>
      </c>
    </row>
    <row r="76" spans="1:29" hidden="1" x14ac:dyDescent="0.25">
      <c r="A76" s="153"/>
      <c r="B76" s="1326"/>
      <c r="D76" s="2">
        <v>0</v>
      </c>
      <c r="E76" s="1249"/>
      <c r="F76" s="2"/>
      <c r="G76" s="1527" t="str">
        <f t="shared" ref="G76:G82" si="47">IF(D76=0,"0.00%",(H76-D76)/D76)</f>
        <v>0.00%</v>
      </c>
      <c r="H76" s="2">
        <f t="shared" si="46"/>
        <v>0</v>
      </c>
      <c r="I76" s="1240" t="str">
        <f>TEXT('MYP Assumptions'!E72,"0.00%")&amp;", CPI"</f>
        <v>3.11%, CPI</v>
      </c>
      <c r="J76" s="66"/>
      <c r="K76" s="1527" t="str">
        <f t="shared" si="38"/>
        <v>0.00%</v>
      </c>
      <c r="L76" s="2">
        <f t="shared" si="39"/>
        <v>0</v>
      </c>
      <c r="M76" s="1240" t="str">
        <f>TEXT('MYP Assumptions'!F72,"0.00%")&amp;", CPI"</f>
        <v>3.19%, CPI</v>
      </c>
      <c r="O76" s="1527" t="str">
        <f t="shared" si="40"/>
        <v>0.00%</v>
      </c>
      <c r="P76" s="2">
        <f t="shared" si="41"/>
        <v>0</v>
      </c>
      <c r="Q76" s="1240" t="str">
        <f>TEXT('MYP Assumptions'!G72,"0.00%")&amp;", CPI"</f>
        <v>2.86%, CPI</v>
      </c>
      <c r="S76" s="83" t="str">
        <f t="shared" si="42"/>
        <v>0.00%</v>
      </c>
      <c r="T76" s="2">
        <f t="shared" si="43"/>
        <v>0</v>
      </c>
      <c r="U76" s="81" t="str">
        <f>TEXT('MYP Assumptions'!H72,"0.00%")&amp;", CPI"</f>
        <v>2.73%, CPI</v>
      </c>
      <c r="W76" s="83" t="str">
        <f t="shared" si="36"/>
        <v>0.00%</v>
      </c>
      <c r="X76" s="2">
        <f t="shared" si="44"/>
        <v>0</v>
      </c>
      <c r="Y76" s="81" t="str">
        <f>TEXT('MYP Assumptions'!I72,"0.00%")&amp;", CPI"</f>
        <v>2.73%, CPI</v>
      </c>
      <c r="AA76" s="83" t="str">
        <f t="shared" si="37"/>
        <v>0.00%</v>
      </c>
      <c r="AB76" s="2">
        <f t="shared" si="45"/>
        <v>0</v>
      </c>
      <c r="AC76" s="81" t="str">
        <f>TEXT('MYP Assumptions'!J72,"0.00%")&amp;", CPI"</f>
        <v>2.73%, CPI</v>
      </c>
    </row>
    <row r="77" spans="1:29" hidden="1" x14ac:dyDescent="0.25">
      <c r="A77" s="153"/>
      <c r="B77" s="1326"/>
      <c r="D77" s="2">
        <v>0</v>
      </c>
      <c r="E77" s="1249"/>
      <c r="F77" s="2"/>
      <c r="G77" s="1527" t="str">
        <f t="shared" si="47"/>
        <v>0.00%</v>
      </c>
      <c r="H77" s="2">
        <f>ROUND(D77*(LEFT(I77,5)+1),0)</f>
        <v>0</v>
      </c>
      <c r="I77" s="1240" t="str">
        <f>TEXT('MYP Assumptions'!E72,"0.00%")&amp;", CPI"</f>
        <v>3.11%, CPI</v>
      </c>
      <c r="J77" s="66"/>
      <c r="K77" s="1527" t="str">
        <f t="shared" si="38"/>
        <v>0.00%</v>
      </c>
      <c r="L77" s="2">
        <f t="shared" si="39"/>
        <v>0</v>
      </c>
      <c r="M77" s="1240" t="str">
        <f>TEXT('MYP Assumptions'!F72,"0.00%")&amp;", CPI"</f>
        <v>3.19%, CPI</v>
      </c>
      <c r="O77" s="1527" t="str">
        <f t="shared" si="40"/>
        <v>0.00%</v>
      </c>
      <c r="P77" s="2">
        <f t="shared" si="41"/>
        <v>0</v>
      </c>
      <c r="Q77" s="1240" t="str">
        <f>TEXT('MYP Assumptions'!G72,"0.00%")&amp;", CPI"</f>
        <v>2.86%, CPI</v>
      </c>
      <c r="S77" s="83" t="str">
        <f t="shared" si="42"/>
        <v>0.00%</v>
      </c>
      <c r="T77" s="2">
        <f t="shared" si="43"/>
        <v>0</v>
      </c>
      <c r="U77" s="81" t="str">
        <f>TEXT('MYP Assumptions'!H72,"0.00%")&amp;", CPI"</f>
        <v>2.73%, CPI</v>
      </c>
      <c r="W77" s="83" t="str">
        <f t="shared" si="36"/>
        <v>0.00%</v>
      </c>
      <c r="X77" s="2">
        <f t="shared" si="44"/>
        <v>0</v>
      </c>
      <c r="Y77" s="81" t="str">
        <f>TEXT('MYP Assumptions'!I72,"0.00%")&amp;", CPI"</f>
        <v>2.73%, CPI</v>
      </c>
      <c r="AA77" s="83" t="str">
        <f t="shared" si="37"/>
        <v>0.00%</v>
      </c>
      <c r="AB77" s="2">
        <f t="shared" si="45"/>
        <v>0</v>
      </c>
      <c r="AC77" s="81" t="str">
        <f>TEXT('MYP Assumptions'!J72,"0.00%")&amp;", CPI"</f>
        <v>2.73%, CPI</v>
      </c>
    </row>
    <row r="78" spans="1:29" hidden="1" x14ac:dyDescent="0.25">
      <c r="A78" s="153"/>
      <c r="B78" s="1326"/>
      <c r="D78" s="2">
        <v>0</v>
      </c>
      <c r="E78" s="1249"/>
      <c r="F78" s="2"/>
      <c r="G78" s="1527" t="str">
        <f t="shared" si="47"/>
        <v>0.00%</v>
      </c>
      <c r="H78" s="2">
        <f>ROUND(D78*(LEFT(I78,5)+1),0)</f>
        <v>0</v>
      </c>
      <c r="I78" s="1240" t="str">
        <f>TEXT('MYP Assumptions'!E72,"0.00%")&amp;", CPI"</f>
        <v>3.11%, CPI</v>
      </c>
      <c r="J78" s="66"/>
      <c r="K78" s="1527" t="str">
        <f t="shared" si="38"/>
        <v>0.00%</v>
      </c>
      <c r="L78" s="2">
        <f t="shared" si="39"/>
        <v>0</v>
      </c>
      <c r="M78" s="1240" t="str">
        <f>TEXT('MYP Assumptions'!F72,"0.00%")&amp;", CPI"</f>
        <v>3.19%, CPI</v>
      </c>
      <c r="O78" s="1527" t="str">
        <f t="shared" si="40"/>
        <v>0.00%</v>
      </c>
      <c r="P78" s="2">
        <f t="shared" si="41"/>
        <v>0</v>
      </c>
      <c r="Q78" s="1240" t="str">
        <f>TEXT('MYP Assumptions'!G72,"0.00%")&amp;", CPI"</f>
        <v>2.86%, CPI</v>
      </c>
      <c r="S78" s="83" t="str">
        <f t="shared" si="42"/>
        <v>0.00%</v>
      </c>
      <c r="T78" s="2">
        <f t="shared" si="43"/>
        <v>0</v>
      </c>
      <c r="U78" s="81" t="str">
        <f>TEXT('MYP Assumptions'!H72,"0.00%")&amp;", CPI"</f>
        <v>2.73%, CPI</v>
      </c>
      <c r="W78" s="83" t="str">
        <f t="shared" si="36"/>
        <v>0.00%</v>
      </c>
      <c r="X78" s="2">
        <f t="shared" si="44"/>
        <v>0</v>
      </c>
      <c r="Y78" s="81" t="str">
        <f>TEXT('MYP Assumptions'!I72,"0.00%")&amp;", CPI"</f>
        <v>2.73%, CPI</v>
      </c>
      <c r="AA78" s="83" t="str">
        <f t="shared" si="37"/>
        <v>0.00%</v>
      </c>
      <c r="AB78" s="2">
        <f t="shared" si="45"/>
        <v>0</v>
      </c>
      <c r="AC78" s="81" t="str">
        <f>TEXT('MYP Assumptions'!J72,"0.00%")&amp;", CPI"</f>
        <v>2.73%, CPI</v>
      </c>
    </row>
    <row r="79" spans="1:29" hidden="1" x14ac:dyDescent="0.25">
      <c r="A79" s="153"/>
      <c r="B79" s="1326"/>
      <c r="D79" s="2">
        <v>0</v>
      </c>
      <c r="E79" s="1249"/>
      <c r="F79" s="2"/>
      <c r="G79" s="1527" t="str">
        <f t="shared" si="47"/>
        <v>0.00%</v>
      </c>
      <c r="H79" s="2">
        <f>ROUND(D79*(LEFT(I79,5)+1),0)</f>
        <v>0</v>
      </c>
      <c r="I79" s="1240" t="str">
        <f>TEXT('MYP Assumptions'!E72,"0.00%")&amp;", CPI"</f>
        <v>3.11%, CPI</v>
      </c>
      <c r="J79" s="66"/>
      <c r="K79" s="1527" t="str">
        <f t="shared" si="38"/>
        <v>0.00%</v>
      </c>
      <c r="L79" s="2">
        <f t="shared" si="39"/>
        <v>0</v>
      </c>
      <c r="M79" s="1240" t="str">
        <f>TEXT('MYP Assumptions'!F72,"0.00%")&amp;", CPI"</f>
        <v>3.19%, CPI</v>
      </c>
      <c r="O79" s="1527" t="str">
        <f t="shared" si="40"/>
        <v>0.00%</v>
      </c>
      <c r="P79" s="2">
        <f t="shared" si="41"/>
        <v>0</v>
      </c>
      <c r="Q79" s="1240" t="str">
        <f>TEXT('MYP Assumptions'!G72,"0.00%")&amp;", CPI"</f>
        <v>2.86%, CPI</v>
      </c>
      <c r="S79" s="83" t="str">
        <f t="shared" si="42"/>
        <v>0.00%</v>
      </c>
      <c r="T79" s="2">
        <f t="shared" si="43"/>
        <v>0</v>
      </c>
      <c r="U79" s="81" t="str">
        <f>TEXT('MYP Assumptions'!H72,"0.00%")&amp;", CPI"</f>
        <v>2.73%, CPI</v>
      </c>
      <c r="W79" s="83" t="str">
        <f t="shared" si="36"/>
        <v>0.00%</v>
      </c>
      <c r="X79" s="2">
        <f t="shared" si="44"/>
        <v>0</v>
      </c>
      <c r="Y79" s="81" t="str">
        <f>TEXT('MYP Assumptions'!I72,"0.00%")&amp;", CPI"</f>
        <v>2.73%, CPI</v>
      </c>
      <c r="AA79" s="83" t="str">
        <f t="shared" si="37"/>
        <v>0.00%</v>
      </c>
      <c r="AB79" s="2">
        <f t="shared" si="45"/>
        <v>0</v>
      </c>
      <c r="AC79" s="81" t="str">
        <f>TEXT('MYP Assumptions'!J72,"0.00%")&amp;", CPI"</f>
        <v>2.73%, CPI</v>
      </c>
    </row>
    <row r="80" spans="1:29" hidden="1" x14ac:dyDescent="0.25">
      <c r="A80" s="153"/>
      <c r="B80" s="1326"/>
      <c r="D80" s="2">
        <v>0</v>
      </c>
      <c r="E80" s="1249"/>
      <c r="F80" s="2"/>
      <c r="G80" s="1527" t="str">
        <f t="shared" si="47"/>
        <v>0.00%</v>
      </c>
      <c r="H80" s="2">
        <f>ROUND(D80*(LEFT(I80,5)+1),0)</f>
        <v>0</v>
      </c>
      <c r="I80" s="1240" t="str">
        <f>TEXT('MYP Assumptions'!E72,"0.00%")&amp;", CPI"</f>
        <v>3.11%, CPI</v>
      </c>
      <c r="J80" s="66"/>
      <c r="K80" s="1527" t="str">
        <f t="shared" si="38"/>
        <v>0.00%</v>
      </c>
      <c r="L80" s="2">
        <f t="shared" si="39"/>
        <v>0</v>
      </c>
      <c r="M80" s="1240" t="str">
        <f>TEXT('MYP Assumptions'!F72,"0.00%")&amp;", CPI"</f>
        <v>3.19%, CPI</v>
      </c>
      <c r="O80" s="1527" t="str">
        <f t="shared" si="40"/>
        <v>0.00%</v>
      </c>
      <c r="P80" s="2">
        <f t="shared" si="41"/>
        <v>0</v>
      </c>
      <c r="Q80" s="1240" t="str">
        <f>TEXT('MYP Assumptions'!G72,"0.00%")&amp;", CPI"</f>
        <v>2.86%, CPI</v>
      </c>
      <c r="S80" s="83" t="str">
        <f t="shared" si="42"/>
        <v>0.00%</v>
      </c>
      <c r="T80" s="2">
        <f t="shared" si="43"/>
        <v>0</v>
      </c>
      <c r="U80" s="81" t="str">
        <f>TEXT('MYP Assumptions'!H72,"0.00%")&amp;", CPI"</f>
        <v>2.73%, CPI</v>
      </c>
      <c r="W80" s="83" t="str">
        <f t="shared" si="36"/>
        <v>0.00%</v>
      </c>
      <c r="X80" s="2">
        <f t="shared" si="44"/>
        <v>0</v>
      </c>
      <c r="Y80" s="81" t="str">
        <f>TEXT('MYP Assumptions'!I72,"0.00%")&amp;", CPI"</f>
        <v>2.73%, CPI</v>
      </c>
      <c r="AA80" s="83" t="str">
        <f t="shared" si="37"/>
        <v>0.00%</v>
      </c>
      <c r="AB80" s="2">
        <f t="shared" si="45"/>
        <v>0</v>
      </c>
      <c r="AC80" s="81" t="str">
        <f>TEXT('MYP Assumptions'!J72,"0.00%")&amp;", CPI"</f>
        <v>2.73%, CPI</v>
      </c>
    </row>
    <row r="81" spans="1:29" hidden="1" x14ac:dyDescent="0.25">
      <c r="A81" s="153"/>
      <c r="B81" s="1326"/>
      <c r="D81" s="2">
        <f>'RS 3010-ALL'!AF80</f>
        <v>0</v>
      </c>
      <c r="E81" s="1249"/>
      <c r="F81" s="2"/>
      <c r="G81" s="1527" t="str">
        <f t="shared" si="47"/>
        <v>0.00%</v>
      </c>
      <c r="H81" s="2">
        <f>ROUND(D81*(LEFT(I81,5)+1),0)</f>
        <v>0</v>
      </c>
      <c r="I81" s="1240" t="str">
        <f>TEXT('MYP Assumptions'!E72,"0.00%")&amp;", CPI"</f>
        <v>3.11%, CPI</v>
      </c>
      <c r="J81" s="66"/>
      <c r="K81" s="1527" t="str">
        <f t="shared" si="38"/>
        <v>0.00%</v>
      </c>
      <c r="L81" s="2">
        <f t="shared" si="39"/>
        <v>0</v>
      </c>
      <c r="M81" s="1240" t="str">
        <f>TEXT('MYP Assumptions'!F72,"0.00%")&amp;", CPI"</f>
        <v>3.19%, CPI</v>
      </c>
      <c r="O81" s="1527" t="str">
        <f t="shared" si="40"/>
        <v>0.00%</v>
      </c>
      <c r="P81" s="2">
        <f t="shared" si="41"/>
        <v>0</v>
      </c>
      <c r="Q81" s="1240" t="str">
        <f>TEXT('MYP Assumptions'!G72,"0.00%")&amp;", CPI"</f>
        <v>2.86%, CPI</v>
      </c>
      <c r="S81" s="83" t="str">
        <f t="shared" si="42"/>
        <v>0.00%</v>
      </c>
      <c r="T81" s="2">
        <f t="shared" si="43"/>
        <v>0</v>
      </c>
      <c r="U81" s="81" t="str">
        <f>TEXT('MYP Assumptions'!H72,"0.00%")&amp;", CPI"</f>
        <v>2.73%, CPI</v>
      </c>
      <c r="W81" s="83" t="str">
        <f t="shared" si="36"/>
        <v>0.00%</v>
      </c>
      <c r="X81" s="2">
        <f t="shared" si="44"/>
        <v>0</v>
      </c>
      <c r="Y81" s="81" t="str">
        <f>TEXT('MYP Assumptions'!I72,"0.00%")&amp;", CPI"</f>
        <v>2.73%, CPI</v>
      </c>
      <c r="AA81" s="83" t="str">
        <f t="shared" si="37"/>
        <v>0.00%</v>
      </c>
      <c r="AB81" s="2">
        <f t="shared" si="45"/>
        <v>0</v>
      </c>
      <c r="AC81" s="81" t="str">
        <f>TEXT('MYP Assumptions'!J72,"0.00%")&amp;", CPI"</f>
        <v>2.73%, CPI</v>
      </c>
    </row>
    <row r="82" spans="1:29" x14ac:dyDescent="0.25">
      <c r="A82" s="154"/>
      <c r="D82" s="8">
        <f>SUM(D69:D81)</f>
        <v>2631</v>
      </c>
      <c r="E82" s="1249"/>
      <c r="F82" s="2"/>
      <c r="G82" s="1527">
        <f t="shared" si="47"/>
        <v>-0.4298745724059293</v>
      </c>
      <c r="H82" s="8">
        <f>SUM(H69:H81)</f>
        <v>1500</v>
      </c>
      <c r="I82" s="1258"/>
      <c r="J82" s="29"/>
      <c r="K82" s="1527">
        <f t="shared" si="38"/>
        <v>0</v>
      </c>
      <c r="L82" s="8">
        <f>SUM(L69:L81)</f>
        <v>1500</v>
      </c>
      <c r="M82" s="1335"/>
      <c r="O82" s="1527">
        <f t="shared" si="40"/>
        <v>0</v>
      </c>
      <c r="P82" s="8">
        <f>SUM(P69:P81)</f>
        <v>1500</v>
      </c>
      <c r="Q82" s="1335"/>
      <c r="S82" s="83">
        <f t="shared" si="42"/>
        <v>0</v>
      </c>
      <c r="T82" s="8">
        <f>SUM(T69:T81)</f>
        <v>1500</v>
      </c>
      <c r="U82" s="73"/>
      <c r="W82" s="83">
        <f t="shared" si="36"/>
        <v>2.7333333333333334E-2</v>
      </c>
      <c r="X82" s="8">
        <f>SUM(X69:X81)</f>
        <v>1541</v>
      </c>
      <c r="Y82" s="73"/>
      <c r="AA82" s="83">
        <f t="shared" si="37"/>
        <v>2.7255029201817001E-2</v>
      </c>
      <c r="AB82" s="8">
        <f>SUM(AB69:AB81)</f>
        <v>1583</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8100</v>
      </c>
      <c r="E85" s="1249"/>
      <c r="F85" s="2"/>
      <c r="G85" s="1527">
        <f>IF(D85=0,"0.00%",(H85-D85)/D85)</f>
        <v>0</v>
      </c>
      <c r="H85" s="8">
        <f>SUM(H82,H66,H55,H13)</f>
        <v>8100</v>
      </c>
      <c r="I85" s="1258"/>
      <c r="J85" s="29"/>
      <c r="K85" s="1527">
        <f>IF(H85=0,"0.00%",(L85-H85)/H85)</f>
        <v>0</v>
      </c>
      <c r="L85" s="8">
        <f>SUM(L82,L66,L55,L13)</f>
        <v>8100</v>
      </c>
      <c r="M85" s="1335"/>
      <c r="O85" s="1527">
        <f>IF(L85=0,"0.00%",(P85-L85)/L85)</f>
        <v>0</v>
      </c>
      <c r="P85" s="8">
        <f>SUM(P82,P66,P55,P13)</f>
        <v>8100</v>
      </c>
      <c r="Q85" s="1335"/>
      <c r="S85" s="83">
        <f>IF(P85=0,"0.00%",(T85-P85)/P85)</f>
        <v>0</v>
      </c>
      <c r="T85" s="8">
        <f>SUM(T82,T66,T55,T13)</f>
        <v>8100</v>
      </c>
      <c r="U85" s="73"/>
      <c r="W85" s="83">
        <f>IF(T85=0,"0.00%",(X85-T85)/T85)</f>
        <v>2.7283950617283951E-2</v>
      </c>
      <c r="X85" s="8">
        <f>SUM(X82,X66,X55,X13)</f>
        <v>8321</v>
      </c>
      <c r="Y85" s="73"/>
      <c r="AA85" s="83">
        <f>IF(X85=0,"0.00%",(AB85-X85)/X85)</f>
        <v>2.7280374954933302E-2</v>
      </c>
      <c r="AB85" s="8">
        <f>SUM(AB82,AB66,AB55,AB13)</f>
        <v>8548</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0</v>
      </c>
      <c r="G87" s="1527" t="str">
        <f>IF(D87=0,"0.00%",(H87-D87)/D87)</f>
        <v>0.00%</v>
      </c>
      <c r="H87" s="3">
        <f>H11-H85</f>
        <v>0</v>
      </c>
      <c r="I87" s="1257"/>
      <c r="J87" s="66"/>
      <c r="K87" s="1527" t="str">
        <f>IF(H87=0,"0.00%",(L87-H87)/H87)</f>
        <v>0.00%</v>
      </c>
      <c r="L87" s="3">
        <f>L11-L85</f>
        <v>0</v>
      </c>
      <c r="M87" s="1335"/>
      <c r="O87" s="1527" t="str">
        <f>IF(L87=0,"0.00%",(P87-L87)/L87)</f>
        <v>0.00%</v>
      </c>
      <c r="P87" s="3">
        <f>P11-P85</f>
        <v>0</v>
      </c>
      <c r="Q87" s="1335"/>
      <c r="S87" s="83" t="str">
        <f>IF(P87=0,"0.00%",(T87-P87)/P87)</f>
        <v>0.00%</v>
      </c>
      <c r="T87" s="3">
        <f>T11-T85</f>
        <v>0</v>
      </c>
      <c r="U87" s="73"/>
      <c r="W87" s="83" t="str">
        <f>IF(T87=0,"0.00%",(X87-T87)/T87)</f>
        <v>0.00%</v>
      </c>
      <c r="X87" s="3">
        <f>X11-X85</f>
        <v>-8321</v>
      </c>
      <c r="Y87" s="73"/>
      <c r="AA87" s="83">
        <f>IF(X87=0,"0.00%",(AB87-X87)/X87)</f>
        <v>2.7280374954933302E-2</v>
      </c>
      <c r="AB87" s="3">
        <f>AB11-AB85</f>
        <v>-8548</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0</v>
      </c>
      <c r="G89" s="1527" t="str">
        <f>IF(D89=0,"0.00%",(H89-D89)/D89)</f>
        <v>0.00%</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0</v>
      </c>
      <c r="U89" s="73"/>
      <c r="W89" s="83" t="str">
        <f>IF(T89=0,"0.00%",(X89-T89)/T89)</f>
        <v>0.00%</v>
      </c>
      <c r="X89" s="49">
        <f>X7+X87</f>
        <v>-8321</v>
      </c>
      <c r="Y89" s="73"/>
      <c r="AA89" s="83">
        <f>IF(X89=0,"0.00%",(AB89-X89)/X89)</f>
        <v>1.0272803749549333</v>
      </c>
      <c r="AB89" s="49">
        <f>AB7+AB87</f>
        <v>-16869</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57"/>
      <c r="B95" s="1329"/>
      <c r="C95" s="1330" t="s">
        <v>226</v>
      </c>
      <c r="D95" s="135">
        <f>+D82+D66+D53+D41+D30</f>
        <v>8100</v>
      </c>
      <c r="E95" s="1251"/>
      <c r="G95" s="1541" t="s">
        <v>226</v>
      </c>
      <c r="H95" s="135">
        <f>+H82+H66+H53+H41+H30</f>
        <v>8100</v>
      </c>
      <c r="I95" s="1260"/>
      <c r="J95" s="136"/>
      <c r="K95" s="1541" t="s">
        <v>226</v>
      </c>
      <c r="L95" s="135">
        <f>+L82+L66+L53+L41+L30</f>
        <v>8100</v>
      </c>
      <c r="M95" s="1338"/>
      <c r="O95" s="1541" t="s">
        <v>226</v>
      </c>
      <c r="P95" s="135">
        <f>+P82+P66+P53+P41+P30</f>
        <v>8100</v>
      </c>
      <c r="Q95" s="1338"/>
      <c r="R95" s="140"/>
      <c r="S95" s="134" t="s">
        <v>226</v>
      </c>
      <c r="T95" s="135">
        <f>+T82+T66+T53+T41+T30</f>
        <v>8100</v>
      </c>
      <c r="U95" s="139"/>
      <c r="W95" s="134" t="s">
        <v>226</v>
      </c>
      <c r="X95" s="135">
        <f>+X82+X66+X53+X41+X30</f>
        <v>8321</v>
      </c>
      <c r="Y95" s="139"/>
      <c r="AA95" s="134" t="s">
        <v>226</v>
      </c>
      <c r="AB95" s="135">
        <f>+AB82+AB66+AB53+AB41+AB30</f>
        <v>8548</v>
      </c>
      <c r="AC95" s="139"/>
    </row>
    <row r="96" spans="1:29" s="138" customFormat="1" ht="11.25" x14ac:dyDescent="0.2">
      <c r="A96" s="159"/>
      <c r="B96" s="1329"/>
      <c r="C96" s="1331" t="s">
        <v>227</v>
      </c>
      <c r="D96" s="143">
        <f>+D13</f>
        <v>0</v>
      </c>
      <c r="E96" s="1252"/>
      <c r="F96" s="145"/>
      <c r="G96" s="1546" t="s">
        <v>227</v>
      </c>
      <c r="H96" s="143">
        <f>+H13</f>
        <v>0</v>
      </c>
      <c r="I96" s="1261"/>
      <c r="J96" s="144"/>
      <c r="K96" s="1546" t="s">
        <v>227</v>
      </c>
      <c r="L96" s="143">
        <f>+L13</f>
        <v>0</v>
      </c>
      <c r="M96" s="1338"/>
      <c r="O96" s="1546" t="s">
        <v>227</v>
      </c>
      <c r="P96" s="143">
        <f>+P13</f>
        <v>0</v>
      </c>
      <c r="Q96" s="1251"/>
      <c r="R96" s="140"/>
      <c r="S96" s="142" t="s">
        <v>227</v>
      </c>
      <c r="T96" s="143">
        <f>+T13</f>
        <v>0</v>
      </c>
      <c r="W96" s="142" t="s">
        <v>227</v>
      </c>
      <c r="X96" s="143">
        <f>+X13</f>
        <v>0</v>
      </c>
      <c r="AA96" s="142" t="s">
        <v>227</v>
      </c>
      <c r="AB96" s="143">
        <f>+AB13</f>
        <v>0</v>
      </c>
    </row>
    <row r="97" spans="1:28" s="138" customFormat="1" ht="11.25" x14ac:dyDescent="0.2">
      <c r="A97" s="159"/>
      <c r="B97" s="1329"/>
      <c r="C97" s="1331"/>
      <c r="D97" s="146">
        <f>+D95+D96</f>
        <v>8100</v>
      </c>
      <c r="E97" s="1252"/>
      <c r="F97" s="145"/>
      <c r="G97" s="1546"/>
      <c r="H97" s="146">
        <f>+H95+H96</f>
        <v>8100</v>
      </c>
      <c r="I97" s="1261"/>
      <c r="J97" s="144"/>
      <c r="K97" s="1546"/>
      <c r="L97" s="146">
        <f>+L95+L96</f>
        <v>8100</v>
      </c>
      <c r="M97" s="1251"/>
      <c r="O97" s="1546"/>
      <c r="P97" s="146">
        <f>+P95+P96</f>
        <v>8100</v>
      </c>
      <c r="Q97" s="1251"/>
      <c r="R97" s="140"/>
      <c r="S97" s="142"/>
      <c r="T97" s="146">
        <f>+T95+T96</f>
        <v>8100</v>
      </c>
      <c r="W97" s="142"/>
      <c r="X97" s="146">
        <f>+X95+X96</f>
        <v>8321</v>
      </c>
      <c r="AA97" s="142"/>
      <c r="AB97" s="146">
        <f>+AB95+AB96</f>
        <v>8548</v>
      </c>
    </row>
    <row r="98" spans="1:28" ht="15"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26"/>
  <sheetViews>
    <sheetView zoomScaleNormal="100" workbookViewId="0">
      <pane xSplit="3" ySplit="6" topLeftCell="D7"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42578125" style="1243" customWidth="1"/>
    <col min="4" max="4" width="16" style="2" customWidth="1"/>
    <col min="5" max="5" width="17.7109375" style="1243" hidden="1" customWidth="1"/>
    <col min="6" max="6" width="6" style="39" customWidth="1"/>
    <col min="7" max="7" width="9.42578125" style="1399" bestFit="1" customWidth="1"/>
    <col min="8" max="8" width="13.85546875" style="123" bestFit="1" customWidth="1"/>
    <col min="9" max="9" width="26" style="1254" hidden="1" customWidth="1"/>
    <col min="10" max="10" width="5.7109375" style="59" customWidth="1"/>
    <col min="11" max="11" width="11.85546875" style="1550" bestFit="1" customWidth="1"/>
    <col min="12" max="12" width="14" style="124" bestFit="1" customWidth="1"/>
    <col min="13" max="13" width="26" style="1243" hidden="1" customWidth="1"/>
    <col min="14" max="14" width="5.7109375" style="39" customWidth="1"/>
    <col min="15" max="15" width="9.42578125" style="1550" bestFit="1" customWidth="1"/>
    <col min="16" max="16" width="14" style="2" bestFit="1" customWidth="1"/>
    <col min="17" max="17" width="24.85546875" style="124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911</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9221</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D4" s="36"/>
      <c r="E4" s="1254"/>
      <c r="F4" s="51"/>
      <c r="G4" s="1540"/>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1412"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D89</f>
        <v>0</v>
      </c>
      <c r="I7" s="1315"/>
      <c r="J7" s="60"/>
      <c r="L7" s="2">
        <f>H89</f>
        <v>0</v>
      </c>
      <c r="M7" s="1315"/>
      <c r="P7" s="2">
        <f>L89</f>
        <v>0</v>
      </c>
      <c r="Q7" s="1315"/>
      <c r="T7" s="2">
        <f>P89</f>
        <v>0</v>
      </c>
      <c r="U7" s="105"/>
      <c r="X7" s="2">
        <f>T89</f>
        <v>0</v>
      </c>
      <c r="Y7" s="105"/>
      <c r="AB7" s="2">
        <f>X89</f>
        <v>0</v>
      </c>
      <c r="AC7" s="105"/>
    </row>
    <row r="8" spans="1:29" x14ac:dyDescent="0.25">
      <c r="E8" s="1315"/>
      <c r="H8" s="2"/>
      <c r="I8" s="1315"/>
      <c r="L8" s="2"/>
      <c r="M8" s="1315"/>
      <c r="Q8" s="1315"/>
      <c r="U8" s="105"/>
      <c r="Y8" s="105"/>
      <c r="AC8" s="105"/>
    </row>
    <row r="9" spans="1:29" x14ac:dyDescent="0.25">
      <c r="B9" s="1317" t="s">
        <v>52</v>
      </c>
      <c r="C9" s="1243" t="s">
        <v>713</v>
      </c>
      <c r="D9" s="2">
        <v>0</v>
      </c>
      <c r="E9" s="1315"/>
      <c r="G9" s="1527" t="str">
        <f>IF(D9=0,"0.00%",(H9-D9)/D9)</f>
        <v>0.00%</v>
      </c>
      <c r="H9" s="3">
        <v>7934</v>
      </c>
      <c r="I9" s="1315" t="s">
        <v>174</v>
      </c>
      <c r="J9" s="61"/>
      <c r="K9" s="1527">
        <f>IF(H9=0,"0.00%",(L9-H9)/H9)</f>
        <v>-1</v>
      </c>
      <c r="L9" s="3">
        <v>0</v>
      </c>
      <c r="M9" s="1315" t="s">
        <v>174</v>
      </c>
      <c r="O9" s="1527" t="str">
        <f>IF(L9=0,"0.00%",(P9-L9)/L9)</f>
        <v>0.00%</v>
      </c>
      <c r="P9" s="3">
        <f>+L9</f>
        <v>0</v>
      </c>
      <c r="Q9" s="1315" t="s">
        <v>174</v>
      </c>
      <c r="S9" s="83" t="str">
        <f>IF(P9=0,"0.00%",(T9-P9)/P9)</f>
        <v>0.00%</v>
      </c>
      <c r="T9" s="3">
        <f>+P9</f>
        <v>0</v>
      </c>
      <c r="U9" s="105" t="s">
        <v>174</v>
      </c>
      <c r="W9" s="83" t="str">
        <f>IF(T9=0,"0.00%",(X9-T9)/T9)</f>
        <v>0.00%</v>
      </c>
      <c r="X9" s="3">
        <f>X3</f>
        <v>0</v>
      </c>
      <c r="Y9" s="105"/>
      <c r="AA9" s="83" t="str">
        <f>IF(X9=0,"0.00%",(AB9-X9)/X9)</f>
        <v>0.00%</v>
      </c>
      <c r="AB9" s="3">
        <f>AB3</f>
        <v>0</v>
      </c>
      <c r="AC9" s="105"/>
    </row>
    <row r="10" spans="1:29" x14ac:dyDescent="0.25">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0</v>
      </c>
      <c r="E11" s="1315"/>
      <c r="G11" s="1527" t="str">
        <f t="shared" si="0"/>
        <v>0.00%</v>
      </c>
      <c r="H11" s="8">
        <f>SUM(H9:H10)</f>
        <v>7934</v>
      </c>
      <c r="I11" s="1315"/>
      <c r="J11" s="62"/>
      <c r="K11" s="1527">
        <f>IF(H11=0,"0.00%",(L11-H11)/H11)</f>
        <v>-1</v>
      </c>
      <c r="L11" s="8">
        <f>SUM(L9:L10)</f>
        <v>0</v>
      </c>
      <c r="M11" s="1315"/>
      <c r="O11" s="1527" t="str">
        <f>IF(L11=0,"0.00%",(P11-L11)/L11)</f>
        <v>0.00%</v>
      </c>
      <c r="P11" s="8">
        <f>SUM(P9:P10)</f>
        <v>0</v>
      </c>
      <c r="Q11" s="1315"/>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ROUND(D11-(D11/(1+B13)),0)</f>
        <v>0</v>
      </c>
      <c r="E13" s="1315"/>
      <c r="G13" s="1527" t="str">
        <f t="shared" si="0"/>
        <v>0.00%</v>
      </c>
      <c r="H13" s="9">
        <f>ROUND(H11-(H11/(1+B13)),0)</f>
        <v>0</v>
      </c>
      <c r="I13" s="1315"/>
      <c r="J13" s="64"/>
      <c r="K13" s="1527" t="str">
        <f>IF(H13=0,"0.00%",(L13-H13)/H13)</f>
        <v>0.00%</v>
      </c>
      <c r="L13" s="9">
        <f>ROUND(L11-(L11/(1+B13)),0)</f>
        <v>0</v>
      </c>
      <c r="M13" s="1315"/>
      <c r="O13" s="1527" t="str">
        <f>IF(L13=0,"0.00%",(P13-L13)/L13)</f>
        <v>0.00%</v>
      </c>
      <c r="P13" s="9">
        <f>ROUND(P11-(P11/(1+B13)),0)</f>
        <v>0</v>
      </c>
      <c r="Q13" s="131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0</v>
      </c>
      <c r="E15" s="1315"/>
      <c r="G15" s="1527" t="str">
        <f t="shared" si="0"/>
        <v>0.00%</v>
      </c>
      <c r="H15" s="9">
        <f>H11-H13</f>
        <v>7934</v>
      </c>
      <c r="I15" s="1315"/>
      <c r="J15" s="62"/>
      <c r="K15" s="1527">
        <f>IF(H15=0,"0.00%",(L15-H15)/H15)</f>
        <v>-1</v>
      </c>
      <c r="L15" s="9">
        <f>L11-L13</f>
        <v>0</v>
      </c>
      <c r="M15" s="1315"/>
      <c r="O15" s="1527" t="str">
        <f>IF(L15=0,"0.00%",(P15-L15)/L15)</f>
        <v>0.00%</v>
      </c>
      <c r="P15" s="9">
        <f>P11-P13</f>
        <v>0</v>
      </c>
      <c r="Q15" s="1315"/>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v>0.02</v>
      </c>
      <c r="J19" s="29"/>
      <c r="L19" s="14" t="s">
        <v>48</v>
      </c>
      <c r="M19" s="1256">
        <v>0.02</v>
      </c>
      <c r="P19" s="14" t="s">
        <v>48</v>
      </c>
      <c r="Q19" s="1256">
        <v>0.02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t="str">
        <f t="shared" ref="I21:I28" si="3">TEXT($I$19,"0.0%")&amp;" = Est. S &amp; C"</f>
        <v>2.0% = Est. S &amp; C</v>
      </c>
      <c r="J21" s="66"/>
      <c r="K21" s="1527" t="str">
        <f t="shared" ref="K21:K27" si="4">IF(H21=0,"0.00%",(L21-H21)/H21)</f>
        <v>0.00%</v>
      </c>
      <c r="L21" s="2">
        <f>ROUND(H21*(1+M19),0)</f>
        <v>0</v>
      </c>
      <c r="M21" s="1257" t="str">
        <f>TEXT(M19,"0.0%")&amp;" = Est. S &amp; C"</f>
        <v>2.0% = Est. S &amp; C</v>
      </c>
      <c r="O21" s="1527" t="str">
        <f t="shared" ref="O21:O27" si="5">IF(L21=0,"0.00%",(P21-L21)/L21)</f>
        <v>0.00%</v>
      </c>
      <c r="P21" s="2">
        <f>ROUND(L21*(1+Q19),0)</f>
        <v>0</v>
      </c>
      <c r="Q21" s="125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2.0% = Est. S &amp; C</v>
      </c>
      <c r="J22" s="66"/>
      <c r="K22" s="1527" t="str">
        <f t="shared" si="4"/>
        <v>0.00%</v>
      </c>
      <c r="L22" s="2">
        <f>ROUND(H22*(1+M19),0)</f>
        <v>0</v>
      </c>
      <c r="M22" s="1257" t="str">
        <f>TEXT(M19,"0.0%")&amp;" = Est. S &amp; C"</f>
        <v>2.0% = Est. S &amp; C</v>
      </c>
      <c r="O22" s="1527" t="str">
        <f t="shared" si="5"/>
        <v>0.00%</v>
      </c>
      <c r="P22" s="2">
        <f>ROUND(L22*(1+Q19),0)</f>
        <v>0</v>
      </c>
      <c r="Q22" s="125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2.0% = Est. S &amp; C</v>
      </c>
      <c r="J23" s="66"/>
      <c r="K23" s="1527" t="str">
        <f t="shared" si="4"/>
        <v>0.00%</v>
      </c>
      <c r="L23" s="2">
        <f>ROUND(H23*(1+M19),0)</f>
        <v>0</v>
      </c>
      <c r="M23" s="1257" t="str">
        <f>TEXT(M19,"0.0%")&amp;" = Est. S &amp; C"</f>
        <v>2.0% = Est. S &amp; C</v>
      </c>
      <c r="O23" s="1527" t="str">
        <f t="shared" si="5"/>
        <v>0.00%</v>
      </c>
      <c r="P23" s="2">
        <f>ROUND(L23*(1+Q19),0)</f>
        <v>0</v>
      </c>
      <c r="Q23" s="125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2.0% = Est. S &amp; C</v>
      </c>
      <c r="J24" s="66"/>
      <c r="K24" s="1527" t="str">
        <f t="shared" si="4"/>
        <v>0.00%</v>
      </c>
      <c r="L24" s="2">
        <f>ROUND(H24*(1+M19),0)</f>
        <v>0</v>
      </c>
      <c r="M24" s="1257" t="str">
        <f>TEXT(M19,"0.0%")&amp;" = Est. S &amp; C"</f>
        <v>2.0% = Est. S &amp; C</v>
      </c>
      <c r="O24" s="1527" t="str">
        <f t="shared" si="5"/>
        <v>0.00%</v>
      </c>
      <c r="P24" s="2">
        <f>ROUND(L24*(1+Q19),0)</f>
        <v>0</v>
      </c>
      <c r="Q24" s="125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t="str">
        <f t="shared" si="3"/>
        <v>2.0% = Est. S &amp; C</v>
      </c>
      <c r="J25" s="66"/>
      <c r="K25" s="1527" t="str">
        <f t="shared" si="4"/>
        <v>0.00%</v>
      </c>
      <c r="L25" s="2">
        <f>ROUND(H25*(1+M19),0)</f>
        <v>0</v>
      </c>
      <c r="M25" s="1257" t="str">
        <f>TEXT(M19,"0.0%")&amp;" = Est. S &amp; C"</f>
        <v>2.0% = Est. S &amp; C</v>
      </c>
      <c r="O25" s="1527" t="str">
        <f t="shared" si="5"/>
        <v>0.00%</v>
      </c>
      <c r="P25" s="2">
        <f>ROUND(L25*(1+Q19),0)</f>
        <v>0</v>
      </c>
      <c r="Q25" s="125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2.0% = Est. S &amp; C</v>
      </c>
      <c r="J26" s="66"/>
      <c r="K26" s="1527" t="str">
        <f t="shared" si="4"/>
        <v>0.00%</v>
      </c>
      <c r="L26" s="2">
        <f>ROUND(H26*(1+M19),0)</f>
        <v>0</v>
      </c>
      <c r="M26" s="1257" t="str">
        <f>TEXT(M19,"0.0%")&amp;" = Est. S &amp; C"</f>
        <v>2.0% = Est. S &amp; C</v>
      </c>
      <c r="O26" s="1527" t="str">
        <f t="shared" si="5"/>
        <v>0.00%</v>
      </c>
      <c r="P26" s="2">
        <f>ROUND(L26*(1+Q19),0)</f>
        <v>0</v>
      </c>
      <c r="Q26" s="125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2.0% = Est. S &amp; C</v>
      </c>
      <c r="J27" s="66"/>
      <c r="K27" s="1527" t="str">
        <f t="shared" si="4"/>
        <v>0.00%</v>
      </c>
      <c r="L27" s="2">
        <f>ROUND(H27*(1+M19),0)</f>
        <v>0</v>
      </c>
      <c r="M27" s="1257" t="str">
        <f>TEXT(M19,"0.0%")&amp;" = Est. S &amp; C"</f>
        <v>2.0% = Est. S &amp; C</v>
      </c>
      <c r="O27" s="1527" t="str">
        <f t="shared" si="5"/>
        <v>0.00%</v>
      </c>
      <c r="P27" s="2">
        <f>ROUND(L27*(1+Q19),0)</f>
        <v>0</v>
      </c>
      <c r="Q27" s="125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2.0%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hidden="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c r="D33" s="2">
        <v>0</v>
      </c>
      <c r="E33" s="1249"/>
      <c r="F33" s="2"/>
      <c r="G33" s="1527" t="str">
        <f t="shared" ref="G33:G39" si="9">IF(D33=0,"0.00%",(H33-D33)/D33)</f>
        <v>0.00%</v>
      </c>
      <c r="H33" s="2">
        <f t="shared" ref="H33:H39" si="10">ROUND(D33*(1+$I$19),0)</f>
        <v>0</v>
      </c>
      <c r="I33" s="1257" t="str">
        <f t="shared" ref="I33:I39" si="11">TEXT($I$19,"0.0%")&amp;" = Est. S &amp; C"</f>
        <v>2.0% = Est. S &amp; C</v>
      </c>
      <c r="J33" s="66"/>
      <c r="K33" s="1527" t="str">
        <f t="shared" ref="K33:K39" si="12">IF(H33=0,"0.00%",(L33-H33)/H33)</f>
        <v>0.00%</v>
      </c>
      <c r="L33" s="2">
        <f>ROUND(H33*(1+M19),0)</f>
        <v>0</v>
      </c>
      <c r="M33" s="1257"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D34" s="2">
        <v>0</v>
      </c>
      <c r="E34" s="1249"/>
      <c r="F34" s="2"/>
      <c r="G34" s="1527" t="str">
        <f t="shared" si="9"/>
        <v>0.00%</v>
      </c>
      <c r="H34" s="2">
        <f t="shared" si="10"/>
        <v>0</v>
      </c>
      <c r="I34" s="1257" t="str">
        <f t="shared" si="11"/>
        <v>2.0% = Est. S &amp; C</v>
      </c>
      <c r="J34" s="66"/>
      <c r="K34" s="1527" t="str">
        <f t="shared" si="12"/>
        <v>0.00%</v>
      </c>
      <c r="L34" s="2">
        <f>ROUND(H34*(1+M19),0)</f>
        <v>0</v>
      </c>
      <c r="M34" s="1257" t="str">
        <f>TEXT(M19,"0.0%")&amp;" = Est. S &amp; C"</f>
        <v>2.0% = Est. S &amp; C</v>
      </c>
      <c r="O34" s="1527" t="str">
        <f t="shared" si="13"/>
        <v>0.00%</v>
      </c>
      <c r="P34" s="2">
        <f>ROUND(L34*(1+Q19),0)</f>
        <v>0</v>
      </c>
      <c r="Q34" s="125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D35" s="2">
        <v>0</v>
      </c>
      <c r="E35" s="1249"/>
      <c r="F35" s="2"/>
      <c r="G35" s="1527" t="str">
        <f t="shared" si="9"/>
        <v>0.00%</v>
      </c>
      <c r="H35" s="2">
        <f t="shared" si="10"/>
        <v>0</v>
      </c>
      <c r="I35" s="1257" t="str">
        <f t="shared" si="11"/>
        <v>2.0% = Est. S &amp; C</v>
      </c>
      <c r="J35" s="66"/>
      <c r="K35" s="1527" t="str">
        <f t="shared" si="12"/>
        <v>0.00%</v>
      </c>
      <c r="L35" s="2">
        <f>ROUND(H35*(1+M19),0)</f>
        <v>0</v>
      </c>
      <c r="M35" s="1257" t="str">
        <f>TEXT(M19,"0.0%")&amp;" = Est. S &amp; C"</f>
        <v>2.0% = Est. S &amp; C</v>
      </c>
      <c r="O35" s="1527" t="str">
        <f t="shared" si="13"/>
        <v>0.00%</v>
      </c>
      <c r="P35" s="2">
        <f>ROUND(L35*(1+Q19),0)</f>
        <v>0</v>
      </c>
      <c r="Q35" s="125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D36" s="2">
        <v>0</v>
      </c>
      <c r="E36" s="1249"/>
      <c r="F36" s="2"/>
      <c r="G36" s="1527" t="str">
        <f t="shared" si="9"/>
        <v>0.00%</v>
      </c>
      <c r="H36" s="2">
        <f t="shared" si="10"/>
        <v>0</v>
      </c>
      <c r="I36" s="1257" t="str">
        <f t="shared" si="11"/>
        <v>2.0% = Est. S &amp; C</v>
      </c>
      <c r="J36" s="66"/>
      <c r="K36" s="1527" t="str">
        <f t="shared" si="12"/>
        <v>0.00%</v>
      </c>
      <c r="L36" s="2">
        <f>ROUND(H36*(1+M19),0)</f>
        <v>0</v>
      </c>
      <c r="M36" s="1257" t="str">
        <f>TEXT(M19,"0.0%")&amp;" = Est. S &amp; C"</f>
        <v>2.0% = Est. S &amp; C</v>
      </c>
      <c r="O36" s="1527" t="str">
        <f t="shared" si="13"/>
        <v>0.00%</v>
      </c>
      <c r="P36" s="2">
        <f>ROUND(L36*(1+Q19),0)</f>
        <v>0</v>
      </c>
      <c r="Q36" s="125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D37" s="2">
        <v>0</v>
      </c>
      <c r="E37" s="1249"/>
      <c r="F37" s="2"/>
      <c r="G37" s="1527" t="str">
        <f t="shared" si="9"/>
        <v>0.00%</v>
      </c>
      <c r="H37" s="2">
        <f t="shared" si="10"/>
        <v>0</v>
      </c>
      <c r="I37" s="1257" t="str">
        <f t="shared" si="11"/>
        <v>2.0% = Est. S &amp; C</v>
      </c>
      <c r="J37" s="66"/>
      <c r="K37" s="1527" t="str">
        <f t="shared" si="12"/>
        <v>0.00%</v>
      </c>
      <c r="L37" s="2">
        <f>ROUND(H37*(1+M19),0)</f>
        <v>0</v>
      </c>
      <c r="M37" s="1257" t="str">
        <f>TEXT(M19,"0.0%")&amp;" = Est. S &amp; C"</f>
        <v>2.0% = Est. S &amp; C</v>
      </c>
      <c r="O37" s="1527" t="str">
        <f t="shared" si="13"/>
        <v>0.00%</v>
      </c>
      <c r="P37" s="2">
        <f>ROUND(L37*(1+Q19),0)</f>
        <v>0</v>
      </c>
      <c r="Q37" s="125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D38" s="2">
        <v>0</v>
      </c>
      <c r="E38" s="1249"/>
      <c r="F38" s="2"/>
      <c r="G38" s="1527" t="str">
        <f t="shared" si="9"/>
        <v>0.00%</v>
      </c>
      <c r="H38" s="2">
        <f t="shared" si="10"/>
        <v>0</v>
      </c>
      <c r="I38" s="1257" t="str">
        <f t="shared" si="11"/>
        <v>2.0% = Est. S &amp; C</v>
      </c>
      <c r="J38" s="66"/>
      <c r="K38" s="1527" t="str">
        <f t="shared" si="12"/>
        <v>0.00%</v>
      </c>
      <c r="L38" s="2">
        <f>ROUND(H38*(1+M19),0)</f>
        <v>0</v>
      </c>
      <c r="M38" s="1257" t="str">
        <f>TEXT(M19,"0.0%")&amp;" = Est. S &amp; C"</f>
        <v>2.0% = Est. S &amp; C</v>
      </c>
      <c r="O38" s="1527" t="str">
        <f t="shared" si="13"/>
        <v>0.00%</v>
      </c>
      <c r="P38" s="2">
        <f>ROUND(L38*(1+Q19),0)</f>
        <v>0</v>
      </c>
      <c r="Q38" s="125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0"/>
        <v>0</v>
      </c>
      <c r="I39" s="1257" t="str">
        <f t="shared" si="11"/>
        <v>2.0% = Est. S &amp; C</v>
      </c>
      <c r="J39" s="66"/>
      <c r="K39" s="1527" t="str">
        <f t="shared" si="12"/>
        <v>0.00%</v>
      </c>
      <c r="L39" s="2">
        <f>ROUND(H39*(1+M19),0)</f>
        <v>0</v>
      </c>
      <c r="M39" s="1257" t="str">
        <f>TEXT(M19,"0.0%")&amp;" = Est. S &amp; C"</f>
        <v>2.0% = Est. S &amp; C</v>
      </c>
      <c r="O39" s="1527" t="str">
        <f t="shared" si="13"/>
        <v>0.00%</v>
      </c>
      <c r="P39" s="2">
        <f>ROUND(L39*(1+Q19),0)</f>
        <v>0</v>
      </c>
      <c r="Q39" s="125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hidden="1"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3"/>
      <c r="B42" s="1317" t="s">
        <v>28</v>
      </c>
      <c r="E42" s="1249"/>
      <c r="F42" s="2"/>
      <c r="H42" s="2"/>
      <c r="I42" s="1257"/>
      <c r="J42" s="66"/>
      <c r="L42" s="2"/>
      <c r="M42" s="1335"/>
      <c r="Q42" s="1335"/>
      <c r="T42" s="2"/>
      <c r="U42" s="73"/>
      <c r="X42" s="2"/>
      <c r="Y42" s="73"/>
      <c r="AB42" s="2"/>
      <c r="AC42" s="73"/>
    </row>
    <row r="43" spans="1:29" hidden="1" x14ac:dyDescent="0.25">
      <c r="A43" s="155"/>
      <c r="B43" s="1323" t="s">
        <v>27</v>
      </c>
      <c r="E43" s="1249"/>
      <c r="F43" s="2"/>
      <c r="H43" s="2"/>
      <c r="I43" s="1257"/>
      <c r="J43" s="66"/>
      <c r="L43" s="2"/>
      <c r="M43" s="1335"/>
      <c r="Q43" s="1335"/>
      <c r="T43" s="2"/>
      <c r="U43" s="73"/>
      <c r="X43" s="2"/>
      <c r="Y43" s="73"/>
      <c r="AB43" s="2"/>
      <c r="AC43" s="73"/>
    </row>
    <row r="44" spans="1:29" hidden="1" x14ac:dyDescent="0.25">
      <c r="A44" s="153"/>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hidden="1" x14ac:dyDescent="0.25">
      <c r="A45" s="153"/>
      <c r="B45" s="1326" t="s">
        <v>84</v>
      </c>
      <c r="C45" s="1243" t="s">
        <v>77</v>
      </c>
      <c r="D45" s="2">
        <v>0</v>
      </c>
      <c r="E45" s="1240" t="str">
        <f>TEXT('MYP Assumptions'!$D$53,"0.00%")&amp;", PERS rate"</f>
        <v>13.89%, PERS rate</v>
      </c>
      <c r="F45" s="2"/>
      <c r="G45" s="1527" t="str">
        <f t="shared" si="17"/>
        <v>0.00%</v>
      </c>
      <c r="H45" s="2">
        <f>ROUND(H41*LEFT(I45,6),0)</f>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hidden="1" x14ac:dyDescent="0.25">
      <c r="A46" s="153"/>
      <c r="B46" s="1326" t="s">
        <v>85</v>
      </c>
      <c r="C46" s="1243" t="s">
        <v>78</v>
      </c>
      <c r="D46" s="2">
        <v>0</v>
      </c>
      <c r="E46" s="1240" t="str">
        <f>TEXT('MYP Assumptions'!$D$54,"0.00%")&amp;", SS rate"</f>
        <v>6.20%, SS rate</v>
      </c>
      <c r="F46" s="2"/>
      <c r="G46" s="1527" t="str">
        <f t="shared" si="17"/>
        <v>0.00%</v>
      </c>
      <c r="H46" s="2">
        <f>ROUND(H41*LEFT(I46,5),0)</f>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hidden="1" x14ac:dyDescent="0.25">
      <c r="A47" s="153"/>
      <c r="B47" s="1326" t="s">
        <v>86</v>
      </c>
      <c r="C47" s="1243" t="s">
        <v>79</v>
      </c>
      <c r="D47" s="2">
        <v>0</v>
      </c>
      <c r="E47" s="1240" t="str">
        <f>TEXT('MYP Assumptions'!$D$55,"0.00%")&amp;", Medicare rate"</f>
        <v>1.45%, Medicare rate</v>
      </c>
      <c r="F47" s="2"/>
      <c r="G47" s="1527" t="str">
        <f t="shared" si="17"/>
        <v>0.00%</v>
      </c>
      <c r="H47" s="2">
        <f>ROUND((H41+H30)*LEFT(I47,5),0)</f>
        <v>0</v>
      </c>
      <c r="I47" s="1240" t="str">
        <f>TEXT('MYP Assumptions'!E55,"0.00%")&amp;", no rate change"</f>
        <v>1.45%, no rate change</v>
      </c>
      <c r="J47" s="66"/>
      <c r="K47" s="1527" t="str">
        <f t="shared" si="18"/>
        <v>0.00%</v>
      </c>
      <c r="L47" s="2">
        <f>ROUND((L41+L30)*LEFT(M47,5),0)</f>
        <v>0</v>
      </c>
      <c r="M47" s="1240"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hidden="1" x14ac:dyDescent="0.25">
      <c r="A48" s="153"/>
      <c r="B48" s="1326" t="s">
        <v>87</v>
      </c>
      <c r="C48" s="1243" t="s">
        <v>80</v>
      </c>
      <c r="D48" s="2">
        <v>0</v>
      </c>
      <c r="E48" s="1240"/>
      <c r="F48" s="2"/>
      <c r="G48" s="1527" t="str">
        <f t="shared" si="17"/>
        <v>0.00%</v>
      </c>
      <c r="H48" s="2">
        <f>ROUND((D48)*(LEFT(I48,5)+1),0)</f>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hidden="1" x14ac:dyDescent="0.25">
      <c r="A49" s="153"/>
      <c r="B49" s="1326" t="s">
        <v>88</v>
      </c>
      <c r="C49" s="1243" t="s">
        <v>81</v>
      </c>
      <c r="D49" s="2">
        <v>0</v>
      </c>
      <c r="E49" s="1240" t="str">
        <f>TEXT('MYP Assumptions'!$D$56,"0.00%")&amp;", SUI rate"</f>
        <v>0.05%, SUI rate</v>
      </c>
      <c r="F49" s="2"/>
      <c r="G49" s="1527" t="str">
        <f t="shared" si="17"/>
        <v>0.00%</v>
      </c>
      <c r="H49" s="2">
        <f>ROUND((H41+H30)*LEFT(I49,5),0)</f>
        <v>0</v>
      </c>
      <c r="I49" s="1240" t="str">
        <f>TEXT('MYP Assumptions'!E56,"0.00%")&amp;", no rate change"</f>
        <v>0.05%, no rate change</v>
      </c>
      <c r="J49" s="66"/>
      <c r="K49" s="1527" t="str">
        <f t="shared" si="18"/>
        <v>0.00%</v>
      </c>
      <c r="L49" s="2">
        <f>ROUND((L41+L30)*LEFT(M49,5),0)</f>
        <v>0</v>
      </c>
      <c r="M49" s="1240"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hidden="1" x14ac:dyDescent="0.25">
      <c r="A50" s="153"/>
      <c r="B50" s="1326" t="s">
        <v>89</v>
      </c>
      <c r="C50" s="1243" t="s">
        <v>82</v>
      </c>
      <c r="D50" s="2">
        <v>0</v>
      </c>
      <c r="E50" s="1240" t="str">
        <f>TEXT('MYP Assumptions'!$D$57,"0.00%")&amp;", W/C rate"</f>
        <v>1.10%, W/C rate</v>
      </c>
      <c r="F50" s="2"/>
      <c r="G50" s="1527" t="str">
        <f t="shared" si="17"/>
        <v>0.00%</v>
      </c>
      <c r="H50" s="2">
        <f>ROUND((H41+H30)*LEFT(I50,5),0)</f>
        <v>0</v>
      </c>
      <c r="I50" s="1240" t="str">
        <f>TEXT('MYP Assumptions'!E57,"0.00%")&amp;", no rate change"</f>
        <v>1.10%, no rate change</v>
      </c>
      <c r="J50" s="66"/>
      <c r="K50" s="1527" t="str">
        <f t="shared" si="18"/>
        <v>0.00%</v>
      </c>
      <c r="L50" s="2">
        <f>ROUND((L41+L30)*LEFT(M50,5),0)</f>
        <v>0</v>
      </c>
      <c r="M50" s="1240"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hidden="1" x14ac:dyDescent="0.25">
      <c r="A51" s="153"/>
      <c r="B51" s="1326" t="s">
        <v>90</v>
      </c>
      <c r="C51" s="1243" t="s">
        <v>92</v>
      </c>
      <c r="D51" s="2">
        <v>0</v>
      </c>
      <c r="E51" s="1249"/>
      <c r="F51" s="2"/>
      <c r="G51" s="1527" t="str">
        <f t="shared" si="17"/>
        <v>0.00%</v>
      </c>
      <c r="H51" s="2">
        <f>D51</f>
        <v>0</v>
      </c>
      <c r="I51" s="1240" t="s">
        <v>166</v>
      </c>
      <c r="J51" s="66"/>
      <c r="K51" s="1527" t="str">
        <f t="shared" si="18"/>
        <v>0.00%</v>
      </c>
      <c r="L51" s="2">
        <f>H51</f>
        <v>0</v>
      </c>
      <c r="M51" s="1240" t="s">
        <v>166</v>
      </c>
      <c r="O51" s="1527" t="str">
        <f t="shared" si="19"/>
        <v>0.00%</v>
      </c>
      <c r="P51" s="2">
        <f>L51</f>
        <v>0</v>
      </c>
      <c r="Q51" s="1240"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3"/>
      <c r="B52" s="1326" t="s">
        <v>91</v>
      </c>
      <c r="C52" s="1243" t="s">
        <v>93</v>
      </c>
      <c r="D52" s="2">
        <v>0</v>
      </c>
      <c r="E52" s="1249"/>
      <c r="F52" s="2"/>
      <c r="G52" s="1527" t="str">
        <f t="shared" si="17"/>
        <v>0.00%</v>
      </c>
      <c r="H52" s="2">
        <f>D52</f>
        <v>0</v>
      </c>
      <c r="I52" s="1240" t="s">
        <v>166</v>
      </c>
      <c r="J52" s="66"/>
      <c r="K52" s="1527" t="str">
        <f t="shared" si="18"/>
        <v>0.00%</v>
      </c>
      <c r="L52" s="2">
        <f>H52</f>
        <v>0</v>
      </c>
      <c r="M52" s="1240" t="s">
        <v>166</v>
      </c>
      <c r="O52" s="1527" t="str">
        <f t="shared" si="19"/>
        <v>0.00%</v>
      </c>
      <c r="P52" s="2">
        <f>L52</f>
        <v>0</v>
      </c>
      <c r="Q52" s="1240"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4"/>
      <c r="B53" s="1326"/>
      <c r="D53" s="8">
        <f>SUM(D44:D52)</f>
        <v>0</v>
      </c>
      <c r="E53" s="1249"/>
      <c r="F53" s="2"/>
      <c r="G53" s="1527" t="str">
        <f t="shared" si="17"/>
        <v>0.00%</v>
      </c>
      <c r="H53" s="8">
        <f>SUM(H44:H52)</f>
        <v>0</v>
      </c>
      <c r="I53" s="1258"/>
      <c r="J53" s="29"/>
      <c r="K53" s="1527" t="str">
        <f t="shared" si="18"/>
        <v>0.00%</v>
      </c>
      <c r="L53" s="8">
        <f>SUM(L44:L52)</f>
        <v>0</v>
      </c>
      <c r="M53" s="1335"/>
      <c r="O53" s="1527" t="str">
        <f t="shared" si="19"/>
        <v>0.00%</v>
      </c>
      <c r="P53" s="8">
        <f>SUM(P44:P52)</f>
        <v>0</v>
      </c>
      <c r="Q53" s="1335"/>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5"/>
      <c r="B54" s="1326"/>
      <c r="E54" s="1249"/>
      <c r="F54" s="2"/>
      <c r="H54" s="2"/>
      <c r="I54" s="1257"/>
      <c r="J54" s="66"/>
      <c r="L54" s="2"/>
      <c r="M54" s="1335"/>
      <c r="Q54" s="1335"/>
      <c r="T54" s="2"/>
      <c r="U54" s="73"/>
      <c r="X54" s="2"/>
      <c r="Y54" s="73"/>
      <c r="AB54" s="2"/>
      <c r="AC54" s="73"/>
    </row>
    <row r="55" spans="1:29" hidden="1" x14ac:dyDescent="0.25">
      <c r="A55" s="154"/>
      <c r="B55" s="1323" t="s">
        <v>26</v>
      </c>
      <c r="D55" s="8">
        <f>SUM(D53,D41,D30)</f>
        <v>0</v>
      </c>
      <c r="E55" s="1249"/>
      <c r="F55" s="2"/>
      <c r="G55" s="1527" t="str">
        <f>IF(D55=0,"0.00%",(H55-D55)/D55)</f>
        <v>0.00%</v>
      </c>
      <c r="H55" s="8">
        <f>SUM(H53,H41,H30)</f>
        <v>0</v>
      </c>
      <c r="I55" s="1258"/>
      <c r="J55" s="29"/>
      <c r="K55" s="1527" t="str">
        <f>IF(H55=0,"0.00%",(L55-H55)/H55)</f>
        <v>0.00%</v>
      </c>
      <c r="L55" s="8">
        <f>SUM(L53,L41,L30)</f>
        <v>0</v>
      </c>
      <c r="M55" s="1335"/>
      <c r="O55" s="1527" t="str">
        <f>IF(L55=0,"0.00%",(P55-L55)/L55)</f>
        <v>0.00%</v>
      </c>
      <c r="P55" s="8">
        <f>SUM(P53,P41,P30)</f>
        <v>0</v>
      </c>
      <c r="Q55" s="1335"/>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6"/>
      <c r="E56" s="1249"/>
      <c r="F56" s="2"/>
      <c r="H56" s="2"/>
      <c r="I56" s="1257"/>
      <c r="J56" s="66"/>
      <c r="L56" s="2"/>
      <c r="M56" s="1335"/>
      <c r="Q56" s="1335"/>
      <c r="T56" s="2"/>
      <c r="U56" s="73"/>
      <c r="X56" s="2"/>
      <c r="Y56" s="73"/>
      <c r="AB56" s="2"/>
      <c r="AC56" s="73"/>
    </row>
    <row r="57" spans="1:29" hidden="1" x14ac:dyDescent="0.25">
      <c r="A57" s="153"/>
      <c r="E57" s="1249"/>
      <c r="F57" s="2"/>
      <c r="H57" s="2"/>
      <c r="I57" s="1257"/>
      <c r="J57" s="66"/>
      <c r="L57" s="2"/>
      <c r="M57" s="1335"/>
      <c r="Q57" s="1335"/>
      <c r="T57" s="2"/>
      <c r="U57" s="73"/>
      <c r="X57" s="2"/>
      <c r="Y57" s="73"/>
      <c r="AB57" s="2"/>
      <c r="AC57" s="73"/>
    </row>
    <row r="58" spans="1:29" x14ac:dyDescent="0.25">
      <c r="A58" s="156"/>
      <c r="B58" s="1327" t="s">
        <v>25</v>
      </c>
      <c r="C58" s="1259"/>
      <c r="E58" s="1249"/>
      <c r="F58" s="2"/>
      <c r="H58" s="2"/>
      <c r="I58" s="1257"/>
      <c r="J58" s="66"/>
      <c r="L58" s="2"/>
      <c r="M58" s="1335"/>
      <c r="Q58" s="1335"/>
      <c r="T58" s="2"/>
      <c r="U58" s="73"/>
      <c r="X58" s="2"/>
      <c r="Y58" s="73"/>
      <c r="AB58" s="2"/>
      <c r="AC58" s="73"/>
    </row>
    <row r="59" spans="1:29" x14ac:dyDescent="0.25">
      <c r="A59" s="153"/>
      <c r="B59" s="1326">
        <v>4310</v>
      </c>
      <c r="C59" s="1243" t="s">
        <v>329</v>
      </c>
      <c r="D59" s="2">
        <v>0</v>
      </c>
      <c r="E59" s="1249"/>
      <c r="F59" s="2"/>
      <c r="G59" s="1527" t="str">
        <f t="shared" ref="G59:G66" si="23">IF(D59=0,"0.00%",(H59-D59)/D59)</f>
        <v>0.00%</v>
      </c>
      <c r="H59" s="3">
        <v>7934</v>
      </c>
      <c r="I59" s="1315" t="s">
        <v>174</v>
      </c>
      <c r="J59" s="61"/>
      <c r="K59" s="1527">
        <f>IF(H59=0,"0.00%",(L59-H59)/H59)</f>
        <v>-1</v>
      </c>
      <c r="L59" s="3">
        <v>0</v>
      </c>
      <c r="M59" s="1315" t="s">
        <v>174</v>
      </c>
      <c r="O59" s="1527" t="str">
        <f>IF(L59=0,"0.00%",(P59-L59)/L59)</f>
        <v>0.00%</v>
      </c>
      <c r="P59" s="3">
        <f>+L59</f>
        <v>0</v>
      </c>
      <c r="Q59" s="1315" t="s">
        <v>174</v>
      </c>
      <c r="S59" s="83" t="str">
        <f>IF(P59=0,"0.00%",(T59-P59)/P59)</f>
        <v>0.00%</v>
      </c>
      <c r="T59" s="3">
        <f>+P59</f>
        <v>0</v>
      </c>
      <c r="U59" s="105" t="s">
        <v>174</v>
      </c>
      <c r="W59" s="83" t="str">
        <f t="shared" ref="W59:W66" si="24">IF(T59=0,"0.00%",(X59-T59)/T59)</f>
        <v>0.00%</v>
      </c>
      <c r="X59" s="2">
        <f>ROUND(T59*(LEFT(Y59,5)+1),0)</f>
        <v>0</v>
      </c>
      <c r="Y59" s="81" t="str">
        <f>TEXT('MYP Assumptions'!I72,"0.00%")&amp;", CPI"</f>
        <v>2.73%, CPI</v>
      </c>
      <c r="AA59" s="83" t="str">
        <f t="shared" ref="AA59:AA66" si="25">IF(X59=0,"0.00%",(AB59-X59)/X59)</f>
        <v>0.00%</v>
      </c>
      <c r="AB59" s="2">
        <f>ROUND(X59*(LEFT(AC59,5)+1),0)</f>
        <v>0</v>
      </c>
      <c r="AC59" s="81" t="str">
        <f>TEXT('MYP Assumptions'!J72,"0.00%")&amp;", CPI"</f>
        <v>2.73%, CPI</v>
      </c>
    </row>
    <row r="60" spans="1:29" hidden="1" x14ac:dyDescent="0.25">
      <c r="A60" s="153"/>
      <c r="B60" s="1326"/>
      <c r="D60" s="2">
        <v>0</v>
      </c>
      <c r="E60" s="1249"/>
      <c r="F60" s="2"/>
      <c r="G60" s="1527" t="str">
        <f t="shared" si="23"/>
        <v>0.00%</v>
      </c>
      <c r="H60" s="2">
        <f t="shared" ref="H60:H65" si="26">ROUND(D60*(LEFT(I60,5)+1),0)</f>
        <v>0</v>
      </c>
      <c r="I60" s="1240" t="str">
        <f>TEXT('MYP Assumptions'!E72,"0.00%")&amp;", CPI"</f>
        <v>3.11%, CPI</v>
      </c>
      <c r="J60" s="66"/>
      <c r="K60" s="1527" t="str">
        <f t="shared" ref="K60:K66" si="27">IF(H60=0,"0.00%",(L60-H60)/H60)</f>
        <v>0.00%</v>
      </c>
      <c r="L60" s="2">
        <f t="shared" ref="L60:L65" si="28">ROUND(H60*(LEFT(M60,5)+1),0)</f>
        <v>0</v>
      </c>
      <c r="M60" s="1240" t="str">
        <f>TEXT('MYP Assumptions'!F72,"0.00%")&amp;", CPI"</f>
        <v>3.19%, CPI</v>
      </c>
      <c r="O60" s="1527" t="str">
        <f t="shared" ref="O60:O66" si="29">IF(L60=0,"0.00%",(P60-L60)/L60)</f>
        <v>0.00%</v>
      </c>
      <c r="P60" s="2">
        <f t="shared" ref="P60:P65" si="30">ROUND(L60*(LEFT(Q60,5)+1),0)</f>
        <v>0</v>
      </c>
      <c r="Q60" s="1240" t="str">
        <f>TEXT('MYP Assumptions'!G72,"0.00%")&amp;", CPI"</f>
        <v>2.86%, CPI</v>
      </c>
      <c r="S60" s="83" t="str">
        <f t="shared" ref="S60:S66" si="31">IF(P60=0,"0.00%",(T60-P60)/P60)</f>
        <v>0.00%</v>
      </c>
      <c r="T60" s="2">
        <f t="shared" ref="T60:T65" si="32">ROUND(P60*(LEFT(U60,5)+1),0)</f>
        <v>0</v>
      </c>
      <c r="U60" s="81" t="str">
        <f>TEXT('MYP Assumptions'!H72,"0.00%")&amp;", CPI"</f>
        <v>2.73%, CPI</v>
      </c>
      <c r="W60" s="83" t="str">
        <f t="shared" si="24"/>
        <v>0.00%</v>
      </c>
      <c r="X60" s="2">
        <f t="shared" ref="X60:X65" si="33">ROUND(T60*(LEFT(Y60,5)+1),0)</f>
        <v>0</v>
      </c>
      <c r="Y60" s="81" t="str">
        <f>TEXT('MYP Assumptions'!I72,"0.00%")&amp;", CPI"</f>
        <v>2.73%, CPI</v>
      </c>
      <c r="AA60" s="83" t="str">
        <f t="shared" si="25"/>
        <v>0.00%</v>
      </c>
      <c r="AB60" s="2">
        <f t="shared" ref="AB60:AB65" si="34">ROUND(X60*(LEFT(AC60,5)+1),0)</f>
        <v>0</v>
      </c>
      <c r="AC60" s="81" t="str">
        <f>TEXT('MYP Assumptions'!J72,"0.00%")&amp;", CPI"</f>
        <v>2.73%, CPI</v>
      </c>
    </row>
    <row r="61" spans="1:29" hidden="1" x14ac:dyDescent="0.25">
      <c r="A61" s="153"/>
      <c r="B61" s="1326"/>
      <c r="D61" s="2">
        <v>0</v>
      </c>
      <c r="E61" s="1249"/>
      <c r="F61" s="2"/>
      <c r="G61" s="1527" t="str">
        <f t="shared" si="23"/>
        <v>0.00%</v>
      </c>
      <c r="H61" s="2">
        <f t="shared" si="26"/>
        <v>0</v>
      </c>
      <c r="I61" s="1240" t="str">
        <f>TEXT('MYP Assumptions'!E72,"0.00%")&amp;", CPI"</f>
        <v>3.11%, CPI</v>
      </c>
      <c r="J61" s="66"/>
      <c r="K61" s="1527" t="str">
        <f t="shared" si="27"/>
        <v>0.00%</v>
      </c>
      <c r="L61" s="2">
        <f t="shared" si="28"/>
        <v>0</v>
      </c>
      <c r="M61" s="1240" t="str">
        <f>TEXT('MYP Assumptions'!F72,"0.00%")&amp;", CPI"</f>
        <v>3.19%, CPI</v>
      </c>
      <c r="O61" s="1527" t="str">
        <f t="shared" si="29"/>
        <v>0.00%</v>
      </c>
      <c r="P61" s="2">
        <f t="shared" si="30"/>
        <v>0</v>
      </c>
      <c r="Q61" s="1240" t="str">
        <f>TEXT('MYP Assumptions'!G72,"0.00%")&amp;", CPI"</f>
        <v>2.86%, CPI</v>
      </c>
      <c r="S61" s="83" t="str">
        <f t="shared" si="31"/>
        <v>0.00%</v>
      </c>
      <c r="T61" s="2">
        <f t="shared" si="32"/>
        <v>0</v>
      </c>
      <c r="U61" s="81" t="str">
        <f>TEXT('MYP Assumptions'!H72,"0.00%")&amp;", CPI"</f>
        <v>2.73%, CPI</v>
      </c>
      <c r="W61" s="83" t="str">
        <f t="shared" si="24"/>
        <v>0.00%</v>
      </c>
      <c r="X61" s="2">
        <f t="shared" si="33"/>
        <v>0</v>
      </c>
      <c r="Y61" s="81" t="str">
        <f>TEXT('MYP Assumptions'!I72,"0.00%")&amp;", CPI"</f>
        <v>2.73%, CPI</v>
      </c>
      <c r="AA61" s="83" t="str">
        <f t="shared" si="25"/>
        <v>0.00%</v>
      </c>
      <c r="AB61" s="2">
        <f t="shared" si="34"/>
        <v>0</v>
      </c>
      <c r="AC61" s="81" t="str">
        <f>TEXT('MYP Assumptions'!J72,"0.00%")&amp;", CPI"</f>
        <v>2.73%, CPI</v>
      </c>
    </row>
    <row r="62" spans="1:29" hidden="1" x14ac:dyDescent="0.25">
      <c r="A62" s="153"/>
      <c r="B62" s="1326"/>
      <c r="D62" s="2">
        <v>0</v>
      </c>
      <c r="E62" s="1249"/>
      <c r="F62" s="2"/>
      <c r="G62" s="1527" t="str">
        <f t="shared" si="23"/>
        <v>0.00%</v>
      </c>
      <c r="H62" s="2">
        <f t="shared" si="26"/>
        <v>0</v>
      </c>
      <c r="I62" s="1240" t="str">
        <f>TEXT('MYP Assumptions'!E72,"0.00%")&amp;", CPI"</f>
        <v>3.11%, CPI</v>
      </c>
      <c r="J62" s="66"/>
      <c r="K62" s="1527" t="str">
        <f t="shared" si="27"/>
        <v>0.00%</v>
      </c>
      <c r="L62" s="2">
        <f t="shared" si="28"/>
        <v>0</v>
      </c>
      <c r="M62" s="1240" t="str">
        <f>TEXT('MYP Assumptions'!F72,"0.00%")&amp;", CPI"</f>
        <v>3.19%, CPI</v>
      </c>
      <c r="O62" s="1527" t="str">
        <f t="shared" si="29"/>
        <v>0.00%</v>
      </c>
      <c r="P62" s="2">
        <f t="shared" si="30"/>
        <v>0</v>
      </c>
      <c r="Q62" s="1240" t="str">
        <f>TEXT('MYP Assumptions'!G72,"0.00%")&amp;", CPI"</f>
        <v>2.86%, CPI</v>
      </c>
      <c r="S62" s="83" t="str">
        <f t="shared" si="31"/>
        <v>0.00%</v>
      </c>
      <c r="T62" s="2">
        <f t="shared" si="32"/>
        <v>0</v>
      </c>
      <c r="U62" s="81" t="str">
        <f>TEXT('MYP Assumptions'!H72,"0.00%")&amp;", CPI"</f>
        <v>2.73%, CPI</v>
      </c>
      <c r="W62" s="83" t="str">
        <f t="shared" si="24"/>
        <v>0.00%</v>
      </c>
      <c r="X62" s="2">
        <f t="shared" si="33"/>
        <v>0</v>
      </c>
      <c r="Y62" s="81" t="str">
        <f>TEXT('MYP Assumptions'!I72,"0.00%")&amp;", CPI"</f>
        <v>2.73%, CPI</v>
      </c>
      <c r="AA62" s="83" t="str">
        <f t="shared" si="25"/>
        <v>0.00%</v>
      </c>
      <c r="AB62" s="2">
        <f t="shared" si="34"/>
        <v>0</v>
      </c>
      <c r="AC62" s="81" t="str">
        <f>TEXT('MYP Assumptions'!J72,"0.00%")&amp;", CPI"</f>
        <v>2.73%, CPI</v>
      </c>
    </row>
    <row r="63" spans="1:29" hidden="1" x14ac:dyDescent="0.25">
      <c r="A63" s="153"/>
      <c r="B63" s="1326"/>
      <c r="D63" s="2">
        <v>0</v>
      </c>
      <c r="E63" s="1249"/>
      <c r="F63" s="2"/>
      <c r="G63" s="1527" t="str">
        <f t="shared" si="23"/>
        <v>0.00%</v>
      </c>
      <c r="H63" s="2">
        <f t="shared" si="26"/>
        <v>0</v>
      </c>
      <c r="I63" s="1240" t="str">
        <f>TEXT('MYP Assumptions'!E72,"0.00%")&amp;", CPI"</f>
        <v>3.11%, CPI</v>
      </c>
      <c r="J63" s="66"/>
      <c r="K63" s="1527" t="str">
        <f t="shared" si="27"/>
        <v>0.00%</v>
      </c>
      <c r="L63" s="2">
        <f t="shared" si="28"/>
        <v>0</v>
      </c>
      <c r="M63" s="1240" t="str">
        <f>TEXT('MYP Assumptions'!F72,"0.00%")&amp;", CPI"</f>
        <v>3.19%, CPI</v>
      </c>
      <c r="O63" s="1527" t="str">
        <f t="shared" si="29"/>
        <v>0.00%</v>
      </c>
      <c r="P63" s="2">
        <f t="shared" si="30"/>
        <v>0</v>
      </c>
      <c r="Q63" s="1240" t="str">
        <f>TEXT('MYP Assumptions'!G72,"0.00%")&amp;", CPI"</f>
        <v>2.86%, CPI</v>
      </c>
      <c r="S63" s="83" t="str">
        <f t="shared" si="31"/>
        <v>0.00%</v>
      </c>
      <c r="T63" s="2">
        <f t="shared" si="32"/>
        <v>0</v>
      </c>
      <c r="U63" s="81" t="str">
        <f>TEXT('MYP Assumptions'!H72,"0.00%")&amp;", CPI"</f>
        <v>2.73%, CPI</v>
      </c>
      <c r="W63" s="83" t="str">
        <f t="shared" si="24"/>
        <v>0.00%</v>
      </c>
      <c r="X63" s="2">
        <f t="shared" si="33"/>
        <v>0</v>
      </c>
      <c r="Y63" s="81" t="str">
        <f>TEXT('MYP Assumptions'!I72,"0.00%")&amp;", CPI"</f>
        <v>2.73%, CPI</v>
      </c>
      <c r="AA63" s="83" t="str">
        <f t="shared" si="25"/>
        <v>0.00%</v>
      </c>
      <c r="AB63" s="2">
        <f t="shared" si="34"/>
        <v>0</v>
      </c>
      <c r="AC63" s="81" t="str">
        <f>TEXT('MYP Assumptions'!J72,"0.00%")&amp;", CPI"</f>
        <v>2.73%, CPI</v>
      </c>
    </row>
    <row r="64" spans="1:29" hidden="1" x14ac:dyDescent="0.25">
      <c r="A64" s="153"/>
      <c r="B64" s="1326"/>
      <c r="D64" s="2">
        <v>0</v>
      </c>
      <c r="E64" s="1249"/>
      <c r="F64" s="2"/>
      <c r="G64" s="1527" t="str">
        <f t="shared" si="23"/>
        <v>0.00%</v>
      </c>
      <c r="H64" s="2">
        <f t="shared" si="26"/>
        <v>0</v>
      </c>
      <c r="I64" s="1240" t="str">
        <f>TEXT('MYP Assumptions'!E72,"0.00%")&amp;", CPI"</f>
        <v>3.11%, CPI</v>
      </c>
      <c r="J64" s="66"/>
      <c r="K64" s="1527" t="str">
        <f t="shared" si="27"/>
        <v>0.00%</v>
      </c>
      <c r="L64" s="2">
        <f t="shared" si="28"/>
        <v>0</v>
      </c>
      <c r="M64" s="1240" t="str">
        <f>TEXT('MYP Assumptions'!F72,"0.00%")&amp;", CPI"</f>
        <v>3.19%, CPI</v>
      </c>
      <c r="O64" s="1527" t="str">
        <f t="shared" si="29"/>
        <v>0.00%</v>
      </c>
      <c r="P64" s="2">
        <f t="shared" si="30"/>
        <v>0</v>
      </c>
      <c r="Q64" s="1240" t="str">
        <f>TEXT('MYP Assumptions'!G72,"0.00%")&amp;", CPI"</f>
        <v>2.86%, CPI</v>
      </c>
      <c r="S64" s="83" t="str">
        <f t="shared" si="31"/>
        <v>0.00%</v>
      </c>
      <c r="T64" s="2">
        <f t="shared" si="32"/>
        <v>0</v>
      </c>
      <c r="U64" s="81" t="str">
        <f>TEXT('MYP Assumptions'!H72,"0.00%")&amp;", CPI"</f>
        <v>2.73%, CPI</v>
      </c>
      <c r="W64" s="83" t="str">
        <f t="shared" si="24"/>
        <v>0.00%</v>
      </c>
      <c r="X64" s="2">
        <f t="shared" si="33"/>
        <v>0</v>
      </c>
      <c r="Y64" s="81" t="str">
        <f>TEXT('MYP Assumptions'!I72,"0.00%")&amp;", CPI"</f>
        <v>2.73%, CPI</v>
      </c>
      <c r="AA64" s="83" t="str">
        <f t="shared" si="25"/>
        <v>0.00%</v>
      </c>
      <c r="AB64" s="2">
        <f t="shared" si="34"/>
        <v>0</v>
      </c>
      <c r="AC64" s="81" t="str">
        <f>TEXT('MYP Assumptions'!J72,"0.00%")&amp;", CPI"</f>
        <v>2.73%, CPI</v>
      </c>
    </row>
    <row r="65" spans="1:29" hidden="1" x14ac:dyDescent="0.25">
      <c r="A65" s="153"/>
      <c r="B65" s="1326"/>
      <c r="C65" s="1328"/>
      <c r="D65" s="2">
        <v>0</v>
      </c>
      <c r="E65" s="1249"/>
      <c r="F65" s="2"/>
      <c r="G65" s="1527" t="str">
        <f t="shared" si="23"/>
        <v>0.00%</v>
      </c>
      <c r="H65" s="2">
        <f t="shared" si="26"/>
        <v>0</v>
      </c>
      <c r="I65" s="1240" t="str">
        <f>TEXT('MYP Assumptions'!E72,"0.00%")&amp;", CPI"</f>
        <v>3.11%, CPI</v>
      </c>
      <c r="J65" s="66"/>
      <c r="K65" s="1527" t="str">
        <f t="shared" si="27"/>
        <v>0.00%</v>
      </c>
      <c r="L65" s="2">
        <f t="shared" si="28"/>
        <v>0</v>
      </c>
      <c r="M65" s="1240" t="str">
        <f>TEXT('MYP Assumptions'!F72,"0.00%")&amp;", CPI"</f>
        <v>3.19%, CPI</v>
      </c>
      <c r="O65" s="1527" t="str">
        <f t="shared" si="29"/>
        <v>0.00%</v>
      </c>
      <c r="P65" s="2">
        <f t="shared" si="30"/>
        <v>0</v>
      </c>
      <c r="Q65" s="1240" t="str">
        <f>TEXT('MYP Assumptions'!G72,"0.00%")&amp;", CPI"</f>
        <v>2.86%, CPI</v>
      </c>
      <c r="S65" s="83" t="str">
        <f t="shared" si="31"/>
        <v>0.00%</v>
      </c>
      <c r="T65" s="2">
        <f t="shared" si="32"/>
        <v>0</v>
      </c>
      <c r="U65" s="81" t="str">
        <f>TEXT('MYP Assumptions'!H72,"0.00%")&amp;", CPI"</f>
        <v>2.73%, CPI</v>
      </c>
      <c r="W65" s="83" t="str">
        <f t="shared" si="24"/>
        <v>0.00%</v>
      </c>
      <c r="X65" s="2">
        <f t="shared" si="33"/>
        <v>0</v>
      </c>
      <c r="Y65" s="81" t="str">
        <f>TEXT('MYP Assumptions'!I72,"0.00%")&amp;", CPI"</f>
        <v>2.73%, CPI</v>
      </c>
      <c r="AA65" s="83" t="str">
        <f t="shared" si="25"/>
        <v>0.00%</v>
      </c>
      <c r="AB65" s="2">
        <f t="shared" si="34"/>
        <v>0</v>
      </c>
      <c r="AC65" s="81" t="str">
        <f>TEXT('MYP Assumptions'!J72,"0.00%")&amp;", CPI"</f>
        <v>2.73%, CPI</v>
      </c>
    </row>
    <row r="66" spans="1:29" x14ac:dyDescent="0.25">
      <c r="A66" s="154"/>
      <c r="B66" s="1243"/>
      <c r="D66" s="8">
        <f>SUM(D59:D65)</f>
        <v>0</v>
      </c>
      <c r="E66" s="1249"/>
      <c r="F66" s="2"/>
      <c r="G66" s="1527" t="str">
        <f t="shared" si="23"/>
        <v>0.00%</v>
      </c>
      <c r="H66" s="8">
        <f>SUM(H59:H65)</f>
        <v>7934</v>
      </c>
      <c r="I66" s="1258"/>
      <c r="J66" s="29"/>
      <c r="K66" s="1527">
        <f t="shared" si="27"/>
        <v>-1</v>
      </c>
      <c r="L66" s="8">
        <f>SUM(L59:L65)</f>
        <v>0</v>
      </c>
      <c r="M66" s="1335"/>
      <c r="O66" s="1527" t="str">
        <f t="shared" si="29"/>
        <v>0.00%</v>
      </c>
      <c r="P66" s="8">
        <f>SUM(P59:P65)</f>
        <v>0</v>
      </c>
      <c r="Q66" s="1335"/>
      <c r="S66" s="83" t="str">
        <f t="shared" si="31"/>
        <v>0.00%</v>
      </c>
      <c r="T66" s="8">
        <f>SUM(T59:T65)</f>
        <v>0</v>
      </c>
      <c r="U66" s="73"/>
      <c r="W66" s="83" t="str">
        <f t="shared" si="24"/>
        <v>0.00%</v>
      </c>
      <c r="X66" s="8">
        <f>SUM(X59:X65)</f>
        <v>0</v>
      </c>
      <c r="Y66" s="73"/>
      <c r="AA66" s="83" t="str">
        <f t="shared" si="25"/>
        <v>0.00%</v>
      </c>
      <c r="AB66" s="8">
        <f>SUM(AB59:AB65)</f>
        <v>0</v>
      </c>
      <c r="AC66" s="73"/>
    </row>
    <row r="67" spans="1:29" hidden="1" x14ac:dyDescent="0.25">
      <c r="A67" s="153"/>
      <c r="E67" s="1249"/>
      <c r="F67" s="2"/>
      <c r="H67" s="2"/>
      <c r="I67" s="1257"/>
      <c r="J67" s="66"/>
      <c r="L67" s="2"/>
      <c r="M67" s="1335"/>
      <c r="Q67" s="1335"/>
      <c r="T67" s="2"/>
      <c r="U67" s="73"/>
      <c r="X67" s="2"/>
      <c r="Y67" s="73"/>
      <c r="AB67" s="2"/>
      <c r="AC67" s="73"/>
    </row>
    <row r="68" spans="1:29" s="4" customFormat="1" hidden="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hidden="1" x14ac:dyDescent="0.25">
      <c r="A69" s="153"/>
      <c r="B69" s="1326">
        <v>5813</v>
      </c>
      <c r="C69" s="1243" t="s">
        <v>6</v>
      </c>
      <c r="D69" s="2">
        <v>0</v>
      </c>
      <c r="E69" s="1249"/>
      <c r="F69" s="2"/>
      <c r="G69" s="1527" t="str">
        <f t="shared" ref="G69:G74" si="35">IF(D69=0,"0.00%",(H69-D69)/D69)</f>
        <v>0.00%</v>
      </c>
      <c r="H69" s="3">
        <f>+D69</f>
        <v>0</v>
      </c>
      <c r="I69" s="1315" t="s">
        <v>174</v>
      </c>
      <c r="J69" s="61"/>
      <c r="K69" s="1527" t="str">
        <f>IF(H69=0,"0.00%",(L69-H69)/H69)</f>
        <v>0.00%</v>
      </c>
      <c r="L69" s="3">
        <f>+H69</f>
        <v>0</v>
      </c>
      <c r="M69" s="1315" t="s">
        <v>174</v>
      </c>
      <c r="O69" s="1527" t="str">
        <f>IF(L69=0,"0.00%",(P69-L69)/L69)</f>
        <v>0.00%</v>
      </c>
      <c r="P69" s="3">
        <f>+L69</f>
        <v>0</v>
      </c>
      <c r="Q69" s="1315" t="s">
        <v>174</v>
      </c>
      <c r="S69" s="83" t="str">
        <f>IF(P69=0,"0.00%",(T69-P69)/P69)</f>
        <v>0.00%</v>
      </c>
      <c r="T69" s="3">
        <f>+P69</f>
        <v>0</v>
      </c>
      <c r="U69" s="105" t="s">
        <v>174</v>
      </c>
      <c r="W69" s="83" t="str">
        <f t="shared" ref="W69:W82" si="36">IF(T69=0,"0.00%",(X69-T69)/T69)</f>
        <v>0.00%</v>
      </c>
      <c r="X69" s="2">
        <f>ROUND(T69*(LEFT(Y69,5)+1),0)</f>
        <v>0</v>
      </c>
      <c r="Y69" s="81" t="str">
        <f>TEXT('MYP Assumptions'!I72,"0.00%")&amp;", CPI"</f>
        <v>2.73%, CPI</v>
      </c>
      <c r="AA69" s="83" t="str">
        <f t="shared" ref="AA69:AA82" si="37">IF(X69=0,"0.00%",(AB69-X69)/X69)</f>
        <v>0.00%</v>
      </c>
      <c r="AB69" s="2">
        <f>ROUND(X69*(LEFT(AC69,5)+1),0)</f>
        <v>0</v>
      </c>
      <c r="AC69" s="81" t="str">
        <f>TEXT('MYP Assumptions'!J72,"0.00%")&amp;", CPI"</f>
        <v>2.73%, CPI</v>
      </c>
    </row>
    <row r="70" spans="1:29" hidden="1" x14ac:dyDescent="0.25">
      <c r="A70" s="153"/>
      <c r="B70" s="1326"/>
      <c r="D70" s="2">
        <v>0</v>
      </c>
      <c r="E70" s="1249"/>
      <c r="F70" s="2"/>
      <c r="G70" s="1527" t="str">
        <f t="shared" si="35"/>
        <v>0.00%</v>
      </c>
      <c r="H70" s="2">
        <f>ROUND(D70*(LEFT(I70,5)+1),0)</f>
        <v>0</v>
      </c>
      <c r="I70" s="1240" t="str">
        <f>TEXT('MYP Assumptions'!E72,"0.00%")&amp;", CPI"</f>
        <v>3.11%, CPI</v>
      </c>
      <c r="J70" s="66"/>
      <c r="K70" s="1527" t="str">
        <f t="shared" ref="K70:K82" si="38">IF(H70=0,"0.00%",(L70-H70)/H70)</f>
        <v>0.00%</v>
      </c>
      <c r="L70" s="2">
        <f t="shared" ref="L70:L81" si="39">ROUND(H70*(LEFT(M70,5)+1),0)</f>
        <v>0</v>
      </c>
      <c r="M70" s="1240" t="str">
        <f>TEXT('MYP Assumptions'!F72,"0.00%")&amp;", CPI"</f>
        <v>3.19%, CPI</v>
      </c>
      <c r="O70" s="1527" t="str">
        <f t="shared" ref="O70:O82" si="40">IF(L70=0,"0.00%",(P70-L70)/L70)</f>
        <v>0.00%</v>
      </c>
      <c r="P70" s="2">
        <f t="shared" ref="P70:P81" si="41">ROUND(L70*(LEFT(Q70,5)+1),0)</f>
        <v>0</v>
      </c>
      <c r="Q70" s="1240" t="str">
        <f>TEXT('MYP Assumptions'!G72,"0.00%")&amp;", CPI"</f>
        <v>2.86%, CPI</v>
      </c>
      <c r="S70" s="83" t="str">
        <f t="shared" ref="S70:S82" si="42">IF(P70=0,"0.00%",(T70-P70)/P70)</f>
        <v>0.00%</v>
      </c>
      <c r="T70" s="2">
        <f t="shared" ref="T70:T81" si="43">ROUND(P70*(LEFT(U70,5)+1),0)</f>
        <v>0</v>
      </c>
      <c r="U70" s="81" t="str">
        <f>TEXT('MYP Assumptions'!H72,"0.00%")&amp;", CPI"</f>
        <v>2.73%, CPI</v>
      </c>
      <c r="W70" s="83" t="str">
        <f t="shared" si="36"/>
        <v>0.00%</v>
      </c>
      <c r="X70" s="2">
        <f t="shared" ref="X70:X81" si="44">ROUND(T70*(LEFT(Y70,5)+1),0)</f>
        <v>0</v>
      </c>
      <c r="Y70" s="81" t="str">
        <f>TEXT('MYP Assumptions'!I72,"0.00%")&amp;", CPI"</f>
        <v>2.73%, CPI</v>
      </c>
      <c r="AA70" s="83" t="str">
        <f t="shared" si="37"/>
        <v>0.00%</v>
      </c>
      <c r="AB70" s="2">
        <f t="shared" ref="AB70:AB81" si="45">ROUND(X70*(LEFT(AC70,5)+1),0)</f>
        <v>0</v>
      </c>
      <c r="AC70" s="81" t="str">
        <f>TEXT('MYP Assumptions'!J72,"0.00%")&amp;", CPI"</f>
        <v>2.73%, CPI</v>
      </c>
    </row>
    <row r="71" spans="1:29" hidden="1" x14ac:dyDescent="0.25">
      <c r="A71" s="153"/>
      <c r="B71" s="1326"/>
      <c r="D71" s="2">
        <v>0</v>
      </c>
      <c r="E71" s="1249"/>
      <c r="F71" s="2"/>
      <c r="G71" s="1527" t="str">
        <f t="shared" si="35"/>
        <v>0.00%</v>
      </c>
      <c r="H71" s="2">
        <f t="shared" ref="H71:H76" si="46">ROUND(D71*(LEFT(I71,5)+1),0)</f>
        <v>0</v>
      </c>
      <c r="I71" s="1240" t="str">
        <f>TEXT('MYP Assumptions'!E72,"0.00%")&amp;", CPI"</f>
        <v>3.11%, CPI</v>
      </c>
      <c r="J71" s="66"/>
      <c r="K71" s="1527" t="str">
        <f t="shared" si="38"/>
        <v>0.00%</v>
      </c>
      <c r="L71" s="2">
        <f t="shared" si="39"/>
        <v>0</v>
      </c>
      <c r="M71" s="1240" t="str">
        <f>TEXT('MYP Assumptions'!F72,"0.00%")&amp;", CPI"</f>
        <v>3.19%, CPI</v>
      </c>
      <c r="O71" s="1527" t="str">
        <f t="shared" si="40"/>
        <v>0.00%</v>
      </c>
      <c r="P71" s="2">
        <f t="shared" si="41"/>
        <v>0</v>
      </c>
      <c r="Q71" s="1240" t="str">
        <f>TEXT('MYP Assumptions'!G72,"0.00%")&amp;", CPI"</f>
        <v>2.86%, CPI</v>
      </c>
      <c r="S71" s="83" t="str">
        <f t="shared" si="42"/>
        <v>0.00%</v>
      </c>
      <c r="T71" s="2">
        <f t="shared" si="43"/>
        <v>0</v>
      </c>
      <c r="U71" s="81" t="str">
        <f>TEXT('MYP Assumptions'!H72,"0.00%")&amp;", CPI"</f>
        <v>2.73%, CPI</v>
      </c>
      <c r="W71" s="83" t="str">
        <f t="shared" si="36"/>
        <v>0.00%</v>
      </c>
      <c r="X71" s="2">
        <f t="shared" si="44"/>
        <v>0</v>
      </c>
      <c r="Y71" s="81" t="str">
        <f>TEXT('MYP Assumptions'!I72,"0.00%")&amp;", CPI"</f>
        <v>2.73%, CPI</v>
      </c>
      <c r="AA71" s="83" t="str">
        <f t="shared" si="37"/>
        <v>0.00%</v>
      </c>
      <c r="AB71" s="2">
        <f t="shared" si="45"/>
        <v>0</v>
      </c>
      <c r="AC71" s="81" t="str">
        <f>TEXT('MYP Assumptions'!J72,"0.00%")&amp;", CPI"</f>
        <v>2.73%, CPI</v>
      </c>
    </row>
    <row r="72" spans="1:29" hidden="1" x14ac:dyDescent="0.25">
      <c r="A72" s="153"/>
      <c r="B72" s="1326"/>
      <c r="D72" s="2">
        <v>0</v>
      </c>
      <c r="E72" s="1249"/>
      <c r="F72" s="2"/>
      <c r="G72" s="1527" t="str">
        <f t="shared" si="35"/>
        <v>0.00%</v>
      </c>
      <c r="H72" s="2">
        <f t="shared" si="46"/>
        <v>0</v>
      </c>
      <c r="I72" s="1240" t="str">
        <f>TEXT('MYP Assumptions'!E72,"0.00%")&amp;", CPI"</f>
        <v>3.11%, CPI</v>
      </c>
      <c r="J72" s="66"/>
      <c r="K72" s="1527" t="str">
        <f t="shared" si="38"/>
        <v>0.00%</v>
      </c>
      <c r="L72" s="2">
        <f t="shared" si="39"/>
        <v>0</v>
      </c>
      <c r="M72" s="1240" t="str">
        <f>TEXT('MYP Assumptions'!F72,"0.00%")&amp;", CPI"</f>
        <v>3.19%, CPI</v>
      </c>
      <c r="O72" s="1527" t="str">
        <f t="shared" si="40"/>
        <v>0.00%</v>
      </c>
      <c r="P72" s="2">
        <f t="shared" si="41"/>
        <v>0</v>
      </c>
      <c r="Q72" s="1240" t="str">
        <f>TEXT('MYP Assumptions'!G72,"0.00%")&amp;", CPI"</f>
        <v>2.86%, CPI</v>
      </c>
      <c r="S72" s="83" t="str">
        <f t="shared" si="42"/>
        <v>0.00%</v>
      </c>
      <c r="T72" s="2">
        <f t="shared" si="43"/>
        <v>0</v>
      </c>
      <c r="U72" s="81" t="str">
        <f>TEXT('MYP Assumptions'!H72,"0.00%")&amp;", CPI"</f>
        <v>2.73%, CPI</v>
      </c>
      <c r="W72" s="83" t="str">
        <f t="shared" si="36"/>
        <v>0.00%</v>
      </c>
      <c r="X72" s="2">
        <f t="shared" si="44"/>
        <v>0</v>
      </c>
      <c r="Y72" s="81" t="str">
        <f>TEXT('MYP Assumptions'!I72,"0.00%")&amp;", CPI"</f>
        <v>2.73%, CPI</v>
      </c>
      <c r="AA72" s="83" t="str">
        <f t="shared" si="37"/>
        <v>0.00%</v>
      </c>
      <c r="AB72" s="2">
        <f t="shared" si="45"/>
        <v>0</v>
      </c>
      <c r="AC72" s="81" t="str">
        <f>TEXT('MYP Assumptions'!J72,"0.00%")&amp;", CPI"</f>
        <v>2.73%, CPI</v>
      </c>
    </row>
    <row r="73" spans="1:29" hidden="1" x14ac:dyDescent="0.25">
      <c r="A73" s="153"/>
      <c r="B73" s="1326"/>
      <c r="D73" s="2">
        <v>0</v>
      </c>
      <c r="E73" s="1249"/>
      <c r="F73" s="2"/>
      <c r="G73" s="1527" t="str">
        <f t="shared" si="35"/>
        <v>0.00%</v>
      </c>
      <c r="H73" s="2">
        <f t="shared" si="46"/>
        <v>0</v>
      </c>
      <c r="I73" s="1240" t="str">
        <f>TEXT('MYP Assumptions'!E72,"0.00%")&amp;", CPI"</f>
        <v>3.11%, CPI</v>
      </c>
      <c r="J73" s="66"/>
      <c r="K73" s="1527" t="str">
        <f t="shared" si="38"/>
        <v>0.00%</v>
      </c>
      <c r="L73" s="2">
        <f t="shared" si="39"/>
        <v>0</v>
      </c>
      <c r="M73" s="1240" t="str">
        <f>TEXT('MYP Assumptions'!F72,"0.00%")&amp;", CPI"</f>
        <v>3.19%, CPI</v>
      </c>
      <c r="O73" s="1527" t="str">
        <f t="shared" si="40"/>
        <v>0.00%</v>
      </c>
      <c r="P73" s="2">
        <f t="shared" si="41"/>
        <v>0</v>
      </c>
      <c r="Q73" s="1240" t="str">
        <f>TEXT('MYP Assumptions'!G72,"0.00%")&amp;", CPI"</f>
        <v>2.86%, CPI</v>
      </c>
      <c r="S73" s="83" t="str">
        <f t="shared" si="42"/>
        <v>0.00%</v>
      </c>
      <c r="T73" s="2">
        <f t="shared" si="43"/>
        <v>0</v>
      </c>
      <c r="U73" s="81" t="str">
        <f>TEXT('MYP Assumptions'!H72,"0.00%")&amp;", CPI"</f>
        <v>2.73%, CPI</v>
      </c>
      <c r="W73" s="83" t="str">
        <f t="shared" si="36"/>
        <v>0.00%</v>
      </c>
      <c r="X73" s="2">
        <f t="shared" si="44"/>
        <v>0</v>
      </c>
      <c r="Y73" s="81" t="str">
        <f>TEXT('MYP Assumptions'!I72,"0.00%")&amp;", CPI"</f>
        <v>2.73%, CPI</v>
      </c>
      <c r="AA73" s="83" t="str">
        <f t="shared" si="37"/>
        <v>0.00%</v>
      </c>
      <c r="AB73" s="2">
        <f t="shared" si="45"/>
        <v>0</v>
      </c>
      <c r="AC73" s="81" t="str">
        <f>TEXT('MYP Assumptions'!J72,"0.00%")&amp;", CPI"</f>
        <v>2.73%, CPI</v>
      </c>
    </row>
    <row r="74" spans="1:29" hidden="1" x14ac:dyDescent="0.25">
      <c r="A74" s="153"/>
      <c r="B74" s="1326"/>
      <c r="D74" s="2">
        <v>0</v>
      </c>
      <c r="E74" s="1249"/>
      <c r="F74" s="2"/>
      <c r="G74" s="1527" t="str">
        <f t="shared" si="35"/>
        <v>0.00%</v>
      </c>
      <c r="H74" s="2">
        <f t="shared" si="46"/>
        <v>0</v>
      </c>
      <c r="I74" s="1240" t="str">
        <f>TEXT('MYP Assumptions'!E72,"0.00%")&amp;", CPI"</f>
        <v>3.11%, CPI</v>
      </c>
      <c r="J74" s="66"/>
      <c r="K74" s="1527" t="str">
        <f t="shared" si="38"/>
        <v>0.00%</v>
      </c>
      <c r="L74" s="2">
        <f t="shared" si="39"/>
        <v>0</v>
      </c>
      <c r="M74" s="1240" t="str">
        <f>TEXT('MYP Assumptions'!F72,"0.00%")&amp;", CPI"</f>
        <v>3.19%, CPI</v>
      </c>
      <c r="O74" s="1527" t="str">
        <f t="shared" si="40"/>
        <v>0.00%</v>
      </c>
      <c r="P74" s="2">
        <f t="shared" si="41"/>
        <v>0</v>
      </c>
      <c r="Q74" s="1240" t="str">
        <f>TEXT('MYP Assumptions'!G72,"0.00%")&amp;", CPI"</f>
        <v>2.86%, CPI</v>
      </c>
      <c r="S74" s="83" t="str">
        <f t="shared" si="42"/>
        <v>0.00%</v>
      </c>
      <c r="T74" s="2">
        <f t="shared" si="43"/>
        <v>0</v>
      </c>
      <c r="U74" s="81" t="str">
        <f>TEXT('MYP Assumptions'!H72,"0.00%")&amp;", CPI"</f>
        <v>2.73%, CPI</v>
      </c>
      <c r="W74" s="83" t="str">
        <f t="shared" si="36"/>
        <v>0.00%</v>
      </c>
      <c r="X74" s="2">
        <f t="shared" si="44"/>
        <v>0</v>
      </c>
      <c r="Y74" s="81" t="str">
        <f>TEXT('MYP Assumptions'!I72,"0.00%")&amp;", CPI"</f>
        <v>2.73%, CPI</v>
      </c>
      <c r="AA74" s="83" t="str">
        <f t="shared" si="37"/>
        <v>0.00%</v>
      </c>
      <c r="AB74" s="2">
        <f t="shared" si="45"/>
        <v>0</v>
      </c>
      <c r="AC74" s="81" t="str">
        <f>TEXT('MYP Assumptions'!J72,"0.00%")&amp;", CPI"</f>
        <v>2.73%, CPI</v>
      </c>
    </row>
    <row r="75" spans="1:29" hidden="1" x14ac:dyDescent="0.25">
      <c r="A75" s="153"/>
      <c r="B75" s="1326"/>
      <c r="D75" s="2">
        <v>0</v>
      </c>
      <c r="E75" s="1249"/>
      <c r="F75" s="2"/>
      <c r="G75" s="1527" t="str">
        <f>IF(D75=0,"0.00%",(H75-D75)/D75)</f>
        <v>0.00%</v>
      </c>
      <c r="H75" s="2">
        <f t="shared" si="46"/>
        <v>0</v>
      </c>
      <c r="I75" s="1240" t="str">
        <f>TEXT('MYP Assumptions'!E72,"0.00%")&amp;", CPI"</f>
        <v>3.11%, CPI</v>
      </c>
      <c r="J75" s="66"/>
      <c r="K75" s="1527" t="str">
        <f t="shared" si="38"/>
        <v>0.00%</v>
      </c>
      <c r="L75" s="2">
        <f t="shared" si="39"/>
        <v>0</v>
      </c>
      <c r="M75" s="1240" t="str">
        <f>TEXT('MYP Assumptions'!F72,"0.00%")&amp;", CPI"</f>
        <v>3.19%, CPI</v>
      </c>
      <c r="O75" s="1527" t="str">
        <f t="shared" si="40"/>
        <v>0.00%</v>
      </c>
      <c r="P75" s="2">
        <f t="shared" si="41"/>
        <v>0</v>
      </c>
      <c r="Q75" s="1240" t="str">
        <f>TEXT('MYP Assumptions'!G72,"0.00%")&amp;", CPI"</f>
        <v>2.86%, CPI</v>
      </c>
      <c r="S75" s="83" t="str">
        <f t="shared" si="42"/>
        <v>0.00%</v>
      </c>
      <c r="T75" s="2">
        <f t="shared" si="43"/>
        <v>0</v>
      </c>
      <c r="U75" s="81" t="str">
        <f>TEXT('MYP Assumptions'!H72,"0.00%")&amp;", CPI"</f>
        <v>2.73%, CPI</v>
      </c>
      <c r="W75" s="83" t="str">
        <f t="shared" si="36"/>
        <v>0.00%</v>
      </c>
      <c r="X75" s="2">
        <f t="shared" si="44"/>
        <v>0</v>
      </c>
      <c r="Y75" s="81" t="str">
        <f>TEXT('MYP Assumptions'!I72,"0.00%")&amp;", CPI"</f>
        <v>2.73%, CPI</v>
      </c>
      <c r="AA75" s="83" t="str">
        <f t="shared" si="37"/>
        <v>0.00%</v>
      </c>
      <c r="AB75" s="2">
        <f t="shared" si="45"/>
        <v>0</v>
      </c>
      <c r="AC75" s="81" t="str">
        <f>TEXT('MYP Assumptions'!J72,"0.00%")&amp;", CPI"</f>
        <v>2.73%, CPI</v>
      </c>
    </row>
    <row r="76" spans="1:29" hidden="1" x14ac:dyDescent="0.25">
      <c r="A76" s="153"/>
      <c r="B76" s="1326"/>
      <c r="D76" s="2">
        <v>0</v>
      </c>
      <c r="E76" s="1249"/>
      <c r="F76" s="2"/>
      <c r="G76" s="1527" t="str">
        <f t="shared" ref="G76:G82" si="47">IF(D76=0,"0.00%",(H76-D76)/D76)</f>
        <v>0.00%</v>
      </c>
      <c r="H76" s="2">
        <f t="shared" si="46"/>
        <v>0</v>
      </c>
      <c r="I76" s="1240" t="str">
        <f>TEXT('MYP Assumptions'!E72,"0.00%")&amp;", CPI"</f>
        <v>3.11%, CPI</v>
      </c>
      <c r="J76" s="66"/>
      <c r="K76" s="1527" t="str">
        <f t="shared" si="38"/>
        <v>0.00%</v>
      </c>
      <c r="L76" s="2">
        <f t="shared" si="39"/>
        <v>0</v>
      </c>
      <c r="M76" s="1240" t="str">
        <f>TEXT('MYP Assumptions'!F72,"0.00%")&amp;", CPI"</f>
        <v>3.19%, CPI</v>
      </c>
      <c r="O76" s="1527" t="str">
        <f t="shared" si="40"/>
        <v>0.00%</v>
      </c>
      <c r="P76" s="2">
        <f t="shared" si="41"/>
        <v>0</v>
      </c>
      <c r="Q76" s="1240" t="str">
        <f>TEXT('MYP Assumptions'!G72,"0.00%")&amp;", CPI"</f>
        <v>2.86%, CPI</v>
      </c>
      <c r="S76" s="83" t="str">
        <f t="shared" si="42"/>
        <v>0.00%</v>
      </c>
      <c r="T76" s="2">
        <f t="shared" si="43"/>
        <v>0</v>
      </c>
      <c r="U76" s="81" t="str">
        <f>TEXT('MYP Assumptions'!H72,"0.00%")&amp;", CPI"</f>
        <v>2.73%, CPI</v>
      </c>
      <c r="W76" s="83" t="str">
        <f t="shared" si="36"/>
        <v>0.00%</v>
      </c>
      <c r="X76" s="2">
        <f t="shared" si="44"/>
        <v>0</v>
      </c>
      <c r="Y76" s="81" t="str">
        <f>TEXT('MYP Assumptions'!I72,"0.00%")&amp;", CPI"</f>
        <v>2.73%, CPI</v>
      </c>
      <c r="AA76" s="83" t="str">
        <f t="shared" si="37"/>
        <v>0.00%</v>
      </c>
      <c r="AB76" s="2">
        <f t="shared" si="45"/>
        <v>0</v>
      </c>
      <c r="AC76" s="81" t="str">
        <f>TEXT('MYP Assumptions'!J72,"0.00%")&amp;", CPI"</f>
        <v>2.73%, CPI</v>
      </c>
    </row>
    <row r="77" spans="1:29" hidden="1" x14ac:dyDescent="0.25">
      <c r="A77" s="153"/>
      <c r="B77" s="1326"/>
      <c r="D77" s="2">
        <v>0</v>
      </c>
      <c r="E77" s="1249"/>
      <c r="F77" s="2"/>
      <c r="G77" s="1527" t="str">
        <f t="shared" si="47"/>
        <v>0.00%</v>
      </c>
      <c r="H77" s="2">
        <f>ROUND(D77*(LEFT(I77,5)+1),0)</f>
        <v>0</v>
      </c>
      <c r="I77" s="1240" t="str">
        <f>TEXT('MYP Assumptions'!E72,"0.00%")&amp;", CPI"</f>
        <v>3.11%, CPI</v>
      </c>
      <c r="J77" s="66"/>
      <c r="K77" s="1527" t="str">
        <f t="shared" si="38"/>
        <v>0.00%</v>
      </c>
      <c r="L77" s="2">
        <f t="shared" si="39"/>
        <v>0</v>
      </c>
      <c r="M77" s="1240" t="str">
        <f>TEXT('MYP Assumptions'!F72,"0.00%")&amp;", CPI"</f>
        <v>3.19%, CPI</v>
      </c>
      <c r="O77" s="1527" t="str">
        <f t="shared" si="40"/>
        <v>0.00%</v>
      </c>
      <c r="P77" s="2">
        <f t="shared" si="41"/>
        <v>0</v>
      </c>
      <c r="Q77" s="1240" t="str">
        <f>TEXT('MYP Assumptions'!G72,"0.00%")&amp;", CPI"</f>
        <v>2.86%, CPI</v>
      </c>
      <c r="S77" s="83" t="str">
        <f t="shared" si="42"/>
        <v>0.00%</v>
      </c>
      <c r="T77" s="2">
        <f t="shared" si="43"/>
        <v>0</v>
      </c>
      <c r="U77" s="81" t="str">
        <f>TEXT('MYP Assumptions'!H72,"0.00%")&amp;", CPI"</f>
        <v>2.73%, CPI</v>
      </c>
      <c r="W77" s="83" t="str">
        <f t="shared" si="36"/>
        <v>0.00%</v>
      </c>
      <c r="X77" s="2">
        <f t="shared" si="44"/>
        <v>0</v>
      </c>
      <c r="Y77" s="81" t="str">
        <f>TEXT('MYP Assumptions'!I72,"0.00%")&amp;", CPI"</f>
        <v>2.73%, CPI</v>
      </c>
      <c r="AA77" s="83" t="str">
        <f t="shared" si="37"/>
        <v>0.00%</v>
      </c>
      <c r="AB77" s="2">
        <f t="shared" si="45"/>
        <v>0</v>
      </c>
      <c r="AC77" s="81" t="str">
        <f>TEXT('MYP Assumptions'!J72,"0.00%")&amp;", CPI"</f>
        <v>2.73%, CPI</v>
      </c>
    </row>
    <row r="78" spans="1:29" hidden="1" x14ac:dyDescent="0.25">
      <c r="A78" s="153"/>
      <c r="B78" s="1326"/>
      <c r="D78" s="2">
        <v>0</v>
      </c>
      <c r="E78" s="1249"/>
      <c r="F78" s="2"/>
      <c r="G78" s="1527" t="str">
        <f t="shared" si="47"/>
        <v>0.00%</v>
      </c>
      <c r="H78" s="2">
        <f>ROUND(D78*(LEFT(I78,5)+1),0)</f>
        <v>0</v>
      </c>
      <c r="I78" s="1240" t="str">
        <f>TEXT('MYP Assumptions'!E72,"0.00%")&amp;", CPI"</f>
        <v>3.11%, CPI</v>
      </c>
      <c r="J78" s="66"/>
      <c r="K78" s="1527" t="str">
        <f t="shared" si="38"/>
        <v>0.00%</v>
      </c>
      <c r="L78" s="2">
        <f t="shared" si="39"/>
        <v>0</v>
      </c>
      <c r="M78" s="1240" t="str">
        <f>TEXT('MYP Assumptions'!F72,"0.00%")&amp;", CPI"</f>
        <v>3.19%, CPI</v>
      </c>
      <c r="O78" s="1527" t="str">
        <f t="shared" si="40"/>
        <v>0.00%</v>
      </c>
      <c r="P78" s="2">
        <f t="shared" si="41"/>
        <v>0</v>
      </c>
      <c r="Q78" s="1240" t="str">
        <f>TEXT('MYP Assumptions'!G72,"0.00%")&amp;", CPI"</f>
        <v>2.86%, CPI</v>
      </c>
      <c r="S78" s="83" t="str">
        <f t="shared" si="42"/>
        <v>0.00%</v>
      </c>
      <c r="T78" s="2">
        <f t="shared" si="43"/>
        <v>0</v>
      </c>
      <c r="U78" s="81" t="str">
        <f>TEXT('MYP Assumptions'!H72,"0.00%")&amp;", CPI"</f>
        <v>2.73%, CPI</v>
      </c>
      <c r="W78" s="83" t="str">
        <f t="shared" si="36"/>
        <v>0.00%</v>
      </c>
      <c r="X78" s="2">
        <f t="shared" si="44"/>
        <v>0</v>
      </c>
      <c r="Y78" s="81" t="str">
        <f>TEXT('MYP Assumptions'!I72,"0.00%")&amp;", CPI"</f>
        <v>2.73%, CPI</v>
      </c>
      <c r="AA78" s="83" t="str">
        <f t="shared" si="37"/>
        <v>0.00%</v>
      </c>
      <c r="AB78" s="2">
        <f t="shared" si="45"/>
        <v>0</v>
      </c>
      <c r="AC78" s="81" t="str">
        <f>TEXT('MYP Assumptions'!J72,"0.00%")&amp;", CPI"</f>
        <v>2.73%, CPI</v>
      </c>
    </row>
    <row r="79" spans="1:29" hidden="1" x14ac:dyDescent="0.25">
      <c r="A79" s="153"/>
      <c r="B79" s="1326"/>
      <c r="D79" s="2">
        <v>0</v>
      </c>
      <c r="E79" s="1249"/>
      <c r="F79" s="2"/>
      <c r="G79" s="1527" t="str">
        <f t="shared" si="47"/>
        <v>0.00%</v>
      </c>
      <c r="H79" s="2">
        <f>ROUND(D79*(LEFT(I79,5)+1),0)</f>
        <v>0</v>
      </c>
      <c r="I79" s="1240" t="str">
        <f>TEXT('MYP Assumptions'!E72,"0.00%")&amp;", CPI"</f>
        <v>3.11%, CPI</v>
      </c>
      <c r="J79" s="66"/>
      <c r="K79" s="1527" t="str">
        <f t="shared" si="38"/>
        <v>0.00%</v>
      </c>
      <c r="L79" s="2">
        <f t="shared" si="39"/>
        <v>0</v>
      </c>
      <c r="M79" s="1240" t="str">
        <f>TEXT('MYP Assumptions'!F72,"0.00%")&amp;", CPI"</f>
        <v>3.19%, CPI</v>
      </c>
      <c r="O79" s="1527" t="str">
        <f t="shared" si="40"/>
        <v>0.00%</v>
      </c>
      <c r="P79" s="2">
        <f t="shared" si="41"/>
        <v>0</v>
      </c>
      <c r="Q79" s="1240" t="str">
        <f>TEXT('MYP Assumptions'!G72,"0.00%")&amp;", CPI"</f>
        <v>2.86%, CPI</v>
      </c>
      <c r="S79" s="83" t="str">
        <f t="shared" si="42"/>
        <v>0.00%</v>
      </c>
      <c r="T79" s="2">
        <f t="shared" si="43"/>
        <v>0</v>
      </c>
      <c r="U79" s="81" t="str">
        <f>TEXT('MYP Assumptions'!H72,"0.00%")&amp;", CPI"</f>
        <v>2.73%, CPI</v>
      </c>
      <c r="W79" s="83" t="str">
        <f t="shared" si="36"/>
        <v>0.00%</v>
      </c>
      <c r="X79" s="2">
        <f t="shared" si="44"/>
        <v>0</v>
      </c>
      <c r="Y79" s="81" t="str">
        <f>TEXT('MYP Assumptions'!I72,"0.00%")&amp;", CPI"</f>
        <v>2.73%, CPI</v>
      </c>
      <c r="AA79" s="83" t="str">
        <f t="shared" si="37"/>
        <v>0.00%</v>
      </c>
      <c r="AB79" s="2">
        <f t="shared" si="45"/>
        <v>0</v>
      </c>
      <c r="AC79" s="81" t="str">
        <f>TEXT('MYP Assumptions'!J72,"0.00%")&amp;", CPI"</f>
        <v>2.73%, CPI</v>
      </c>
    </row>
    <row r="80" spans="1:29" hidden="1" x14ac:dyDescent="0.25">
      <c r="A80" s="153"/>
      <c r="B80" s="1326"/>
      <c r="D80" s="2">
        <v>0</v>
      </c>
      <c r="E80" s="1249"/>
      <c r="F80" s="2"/>
      <c r="G80" s="1527" t="str">
        <f t="shared" si="47"/>
        <v>0.00%</v>
      </c>
      <c r="H80" s="2">
        <f>ROUND(D80*(LEFT(I80,5)+1),0)</f>
        <v>0</v>
      </c>
      <c r="I80" s="1240" t="str">
        <f>TEXT('MYP Assumptions'!E72,"0.00%")&amp;", CPI"</f>
        <v>3.11%, CPI</v>
      </c>
      <c r="J80" s="66"/>
      <c r="K80" s="1527" t="str">
        <f t="shared" si="38"/>
        <v>0.00%</v>
      </c>
      <c r="L80" s="2">
        <f t="shared" si="39"/>
        <v>0</v>
      </c>
      <c r="M80" s="1240" t="str">
        <f>TEXT('MYP Assumptions'!F72,"0.00%")&amp;", CPI"</f>
        <v>3.19%, CPI</v>
      </c>
      <c r="O80" s="1527" t="str">
        <f t="shared" si="40"/>
        <v>0.00%</v>
      </c>
      <c r="P80" s="2">
        <f t="shared" si="41"/>
        <v>0</v>
      </c>
      <c r="Q80" s="1240" t="str">
        <f>TEXT('MYP Assumptions'!G72,"0.00%")&amp;", CPI"</f>
        <v>2.86%, CPI</v>
      </c>
      <c r="S80" s="83" t="str">
        <f t="shared" si="42"/>
        <v>0.00%</v>
      </c>
      <c r="T80" s="2">
        <f t="shared" si="43"/>
        <v>0</v>
      </c>
      <c r="U80" s="81" t="str">
        <f>TEXT('MYP Assumptions'!H72,"0.00%")&amp;", CPI"</f>
        <v>2.73%, CPI</v>
      </c>
      <c r="W80" s="83" t="str">
        <f t="shared" si="36"/>
        <v>0.00%</v>
      </c>
      <c r="X80" s="2">
        <f t="shared" si="44"/>
        <v>0</v>
      </c>
      <c r="Y80" s="81" t="str">
        <f>TEXT('MYP Assumptions'!I72,"0.00%")&amp;", CPI"</f>
        <v>2.73%, CPI</v>
      </c>
      <c r="AA80" s="83" t="str">
        <f t="shared" si="37"/>
        <v>0.00%</v>
      </c>
      <c r="AB80" s="2">
        <f t="shared" si="45"/>
        <v>0</v>
      </c>
      <c r="AC80" s="81" t="str">
        <f>TEXT('MYP Assumptions'!J72,"0.00%")&amp;", CPI"</f>
        <v>2.73%, CPI</v>
      </c>
    </row>
    <row r="81" spans="1:29" hidden="1" x14ac:dyDescent="0.25">
      <c r="A81" s="153"/>
      <c r="B81" s="1326"/>
      <c r="D81" s="2">
        <f>'RS 3010-ALL'!AF80</f>
        <v>0</v>
      </c>
      <c r="E81" s="1249"/>
      <c r="F81" s="2"/>
      <c r="G81" s="1527" t="str">
        <f t="shared" si="47"/>
        <v>0.00%</v>
      </c>
      <c r="H81" s="2">
        <f>ROUND(D81*(LEFT(I81,5)+1),0)</f>
        <v>0</v>
      </c>
      <c r="I81" s="1240" t="str">
        <f>TEXT('MYP Assumptions'!E72,"0.00%")&amp;", CPI"</f>
        <v>3.11%, CPI</v>
      </c>
      <c r="J81" s="66"/>
      <c r="K81" s="1527" t="str">
        <f t="shared" si="38"/>
        <v>0.00%</v>
      </c>
      <c r="L81" s="2">
        <f t="shared" si="39"/>
        <v>0</v>
      </c>
      <c r="M81" s="1240" t="str">
        <f>TEXT('MYP Assumptions'!F72,"0.00%")&amp;", CPI"</f>
        <v>3.19%, CPI</v>
      </c>
      <c r="O81" s="1527" t="str">
        <f t="shared" si="40"/>
        <v>0.00%</v>
      </c>
      <c r="P81" s="2">
        <f t="shared" si="41"/>
        <v>0</v>
      </c>
      <c r="Q81" s="1240" t="str">
        <f>TEXT('MYP Assumptions'!G72,"0.00%")&amp;", CPI"</f>
        <v>2.86%, CPI</v>
      </c>
      <c r="S81" s="83" t="str">
        <f t="shared" si="42"/>
        <v>0.00%</v>
      </c>
      <c r="T81" s="2">
        <f t="shared" si="43"/>
        <v>0</v>
      </c>
      <c r="U81" s="81" t="str">
        <f>TEXT('MYP Assumptions'!H72,"0.00%")&amp;", CPI"</f>
        <v>2.73%, CPI</v>
      </c>
      <c r="W81" s="83" t="str">
        <f t="shared" si="36"/>
        <v>0.00%</v>
      </c>
      <c r="X81" s="2">
        <f t="shared" si="44"/>
        <v>0</v>
      </c>
      <c r="Y81" s="81" t="str">
        <f>TEXT('MYP Assumptions'!I72,"0.00%")&amp;", CPI"</f>
        <v>2.73%, CPI</v>
      </c>
      <c r="AA81" s="83" t="str">
        <f t="shared" si="37"/>
        <v>0.00%</v>
      </c>
      <c r="AB81" s="2">
        <f t="shared" si="45"/>
        <v>0</v>
      </c>
      <c r="AC81" s="81" t="str">
        <f>TEXT('MYP Assumptions'!J72,"0.00%")&amp;", CPI"</f>
        <v>2.73%, CPI</v>
      </c>
    </row>
    <row r="82" spans="1:29" hidden="1" x14ac:dyDescent="0.25">
      <c r="A82" s="154"/>
      <c r="D82" s="8">
        <f>SUM(D69:D81)</f>
        <v>0</v>
      </c>
      <c r="E82" s="1249"/>
      <c r="F82" s="2"/>
      <c r="G82" s="1527" t="str">
        <f t="shared" si="47"/>
        <v>0.00%</v>
      </c>
      <c r="H82" s="8">
        <f>SUM(H69:H81)</f>
        <v>0</v>
      </c>
      <c r="I82" s="1258"/>
      <c r="J82" s="29"/>
      <c r="K82" s="1527" t="str">
        <f t="shared" si="38"/>
        <v>0.00%</v>
      </c>
      <c r="L82" s="8">
        <f>SUM(L69:L81)</f>
        <v>0</v>
      </c>
      <c r="M82" s="1335"/>
      <c r="O82" s="1527" t="str">
        <f t="shared" si="40"/>
        <v>0.00%</v>
      </c>
      <c r="P82" s="8">
        <f>SUM(P69:P81)</f>
        <v>0</v>
      </c>
      <c r="Q82" s="1335"/>
      <c r="S82" s="83" t="str">
        <f t="shared" si="42"/>
        <v>0.00%</v>
      </c>
      <c r="T82" s="8">
        <f>SUM(T69:T81)</f>
        <v>0</v>
      </c>
      <c r="U82" s="73"/>
      <c r="W82" s="83" t="str">
        <f t="shared" si="36"/>
        <v>0.00%</v>
      </c>
      <c r="X82" s="8">
        <f>SUM(X69:X81)</f>
        <v>0</v>
      </c>
      <c r="Y82" s="73"/>
      <c r="AA82" s="83" t="str">
        <f t="shared" si="37"/>
        <v>0.00%</v>
      </c>
      <c r="AB82" s="8">
        <f>SUM(AB69:AB81)</f>
        <v>0</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0</v>
      </c>
      <c r="E85" s="1249"/>
      <c r="F85" s="2"/>
      <c r="G85" s="1527" t="str">
        <f>IF(D85=0,"0.00%",(H85-D85)/D85)</f>
        <v>0.00%</v>
      </c>
      <c r="H85" s="8">
        <f>SUM(H82,H66,H55,H13)</f>
        <v>7934</v>
      </c>
      <c r="I85" s="1258"/>
      <c r="J85" s="29"/>
      <c r="K85" s="1527">
        <f>IF(H85=0,"0.00%",(L85-H85)/H85)</f>
        <v>-1</v>
      </c>
      <c r="L85" s="8">
        <f>SUM(L82,L66,L55,L13)</f>
        <v>0</v>
      </c>
      <c r="M85" s="1335"/>
      <c r="O85" s="1527" t="str">
        <f>IF(L85=0,"0.00%",(P85-L85)/L85)</f>
        <v>0.00%</v>
      </c>
      <c r="P85" s="8">
        <f>SUM(P82,P66,P55,P13)</f>
        <v>0</v>
      </c>
      <c r="Q85" s="1335"/>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0</v>
      </c>
      <c r="G87" s="1527" t="str">
        <f>IF(D87=0,"0.00%",(H87-D87)/D87)</f>
        <v>0.00%</v>
      </c>
      <c r="H87" s="3">
        <f>H11-H85</f>
        <v>0</v>
      </c>
      <c r="I87" s="1257"/>
      <c r="J87" s="66"/>
      <c r="K87" s="1527" t="str">
        <f>IF(H87=0,"0.00%",(L87-H87)/H87)</f>
        <v>0.00%</v>
      </c>
      <c r="L87" s="3">
        <f>L11-L85</f>
        <v>0</v>
      </c>
      <c r="M87" s="1335"/>
      <c r="O87" s="1527" t="str">
        <f>IF(L87=0,"0.00%",(P87-L87)/L87)</f>
        <v>0.00%</v>
      </c>
      <c r="P87" s="3">
        <f>P11-P85</f>
        <v>0</v>
      </c>
      <c r="Q87" s="1335"/>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0</v>
      </c>
      <c r="G89" s="1527" t="str">
        <f>IF(D89=0,"0.00%",(H89-D89)/D89)</f>
        <v>0.00%</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57"/>
      <c r="B95" s="1329"/>
      <c r="C95" s="1330" t="s">
        <v>226</v>
      </c>
      <c r="D95" s="135">
        <f>+D82+D66+D53+D41+D30</f>
        <v>0</v>
      </c>
      <c r="E95" s="1251"/>
      <c r="G95" s="1541" t="s">
        <v>226</v>
      </c>
      <c r="H95" s="135">
        <f>+H82+H66+H53+H41+H30</f>
        <v>7934</v>
      </c>
      <c r="I95" s="1260"/>
      <c r="J95" s="136"/>
      <c r="K95" s="1541" t="s">
        <v>226</v>
      </c>
      <c r="L95" s="135">
        <f>+L82+L66+L53+L41+L30</f>
        <v>0</v>
      </c>
      <c r="M95" s="1338"/>
      <c r="O95" s="1541" t="s">
        <v>226</v>
      </c>
      <c r="P95" s="135">
        <f>+P82+P66+P53+P41+P30</f>
        <v>0</v>
      </c>
      <c r="Q95" s="1338"/>
      <c r="R95" s="140"/>
      <c r="S95" s="134" t="s">
        <v>226</v>
      </c>
      <c r="T95" s="135">
        <f>+T82+T66+T53+T41+T30</f>
        <v>0</v>
      </c>
      <c r="U95" s="139"/>
      <c r="W95" s="134" t="s">
        <v>226</v>
      </c>
      <c r="X95" s="135">
        <f>+X82+X66+X53+X41+X30</f>
        <v>0</v>
      </c>
      <c r="Y95" s="139"/>
      <c r="AA95" s="134" t="s">
        <v>226</v>
      </c>
      <c r="AB95" s="135">
        <f>+AB82+AB66+AB53+AB41+AB30</f>
        <v>0</v>
      </c>
      <c r="AC95" s="139"/>
    </row>
    <row r="96" spans="1:29" s="138" customFormat="1" ht="11.25" x14ac:dyDescent="0.2">
      <c r="A96" s="159"/>
      <c r="B96" s="1329"/>
      <c r="C96" s="1331" t="s">
        <v>227</v>
      </c>
      <c r="D96" s="143">
        <f>+D13</f>
        <v>0</v>
      </c>
      <c r="E96" s="1252"/>
      <c r="F96" s="145"/>
      <c r="G96" s="1546" t="s">
        <v>227</v>
      </c>
      <c r="H96" s="143">
        <f>+H13</f>
        <v>0</v>
      </c>
      <c r="I96" s="1261"/>
      <c r="J96" s="144"/>
      <c r="K96" s="1546" t="s">
        <v>227</v>
      </c>
      <c r="L96" s="143">
        <f>+L13</f>
        <v>0</v>
      </c>
      <c r="M96" s="1338"/>
      <c r="O96" s="1546" t="s">
        <v>227</v>
      </c>
      <c r="P96" s="143">
        <f>+P13</f>
        <v>0</v>
      </c>
      <c r="Q96" s="1251"/>
      <c r="R96" s="140"/>
      <c r="S96" s="142" t="s">
        <v>227</v>
      </c>
      <c r="T96" s="143">
        <f>+T13</f>
        <v>0</v>
      </c>
      <c r="W96" s="142" t="s">
        <v>227</v>
      </c>
      <c r="X96" s="143">
        <f>+X13</f>
        <v>0</v>
      </c>
      <c r="AA96" s="142" t="s">
        <v>227</v>
      </c>
      <c r="AB96" s="143">
        <f>+AB13</f>
        <v>0</v>
      </c>
    </row>
    <row r="97" spans="1:28" s="138" customFormat="1" ht="11.25" x14ac:dyDescent="0.2">
      <c r="A97" s="159"/>
      <c r="B97" s="1329"/>
      <c r="C97" s="1331"/>
      <c r="D97" s="146">
        <f>+D95+D96</f>
        <v>0</v>
      </c>
      <c r="E97" s="1252"/>
      <c r="F97" s="145"/>
      <c r="G97" s="1546"/>
      <c r="H97" s="146">
        <f>+H95+H96</f>
        <v>7934</v>
      </c>
      <c r="I97" s="1261"/>
      <c r="J97" s="144"/>
      <c r="K97" s="1546"/>
      <c r="L97" s="146">
        <f>+L95+L96</f>
        <v>0</v>
      </c>
      <c r="M97" s="1251"/>
      <c r="O97" s="1546"/>
      <c r="P97" s="146">
        <f>+P95+P96</f>
        <v>0</v>
      </c>
      <c r="Q97" s="1251"/>
      <c r="R97" s="140"/>
      <c r="S97" s="142"/>
      <c r="T97" s="146">
        <f>+T95+T96</f>
        <v>0</v>
      </c>
      <c r="W97" s="142"/>
      <c r="X97" s="146">
        <f>+X95+X96</f>
        <v>0</v>
      </c>
      <c r="AA97" s="142"/>
      <c r="AB97" s="146">
        <f>+AB95+AB96</f>
        <v>0</v>
      </c>
    </row>
    <row r="98" spans="1:28" ht="15"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26"/>
  <sheetViews>
    <sheetView zoomScaleNormal="100" workbookViewId="0">
      <pane xSplit="3" ySplit="6" topLeftCell="D7" activePane="bottomRight" state="frozen"/>
      <selection activeCell="L156" sqref="L156"/>
      <selection pane="topRight" activeCell="L156" sqref="L156"/>
      <selection pane="bottomLeft" activeCell="L156" sqref="L156"/>
      <selection pane="bottomRight" activeCell="L156" sqref="L156"/>
    </sheetView>
  </sheetViews>
  <sheetFormatPr defaultRowHeight="15" x14ac:dyDescent="0.25"/>
  <cols>
    <col min="1" max="1" width="1.7109375" style="147" customWidth="1"/>
    <col min="2" max="2" width="8.5703125" style="1317" customWidth="1"/>
    <col min="3" max="3" width="18.42578125" style="1243" customWidth="1"/>
    <col min="4" max="4" width="16" style="2" customWidth="1"/>
    <col min="5" max="5" width="17.7109375" style="1243" hidden="1" customWidth="1"/>
    <col min="6" max="6" width="6" style="39" customWidth="1"/>
    <col min="7" max="7" width="9.42578125" style="1399" bestFit="1" customWidth="1"/>
    <col min="8" max="8" width="13.85546875" style="123" bestFit="1" customWidth="1"/>
    <col min="9" max="9" width="26" style="1254" hidden="1" customWidth="1"/>
    <col min="10" max="10" width="5.7109375" style="59" customWidth="1"/>
    <col min="11" max="11" width="11.85546875" style="1550" bestFit="1" customWidth="1"/>
    <col min="12" max="12" width="14" style="124" bestFit="1" customWidth="1"/>
    <col min="13" max="13" width="26" style="1243" hidden="1" customWidth="1"/>
    <col min="14" max="14" width="5.7109375" style="39" customWidth="1"/>
    <col min="15" max="15" width="9.42578125" style="1550" bestFit="1" customWidth="1"/>
    <col min="16" max="16" width="14" style="2" bestFit="1" customWidth="1"/>
    <col min="17" max="17" width="24.85546875" style="124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317" t="s">
        <v>61</v>
      </c>
      <c r="C1" s="1318" t="s">
        <v>910</v>
      </c>
      <c r="D1" s="1481"/>
      <c r="E1" s="1241"/>
      <c r="F1" s="98"/>
      <c r="G1" s="75"/>
      <c r="H1" s="1482"/>
      <c r="I1" s="1241"/>
      <c r="K1" s="81"/>
      <c r="L1" s="123"/>
      <c r="M1" s="1241"/>
      <c r="N1" s="51"/>
      <c r="O1" s="81"/>
      <c r="P1" s="123"/>
      <c r="Q1" s="1241"/>
      <c r="T1" s="86">
        <v>0</v>
      </c>
      <c r="U1" s="98"/>
      <c r="X1" s="86">
        <v>0</v>
      </c>
      <c r="Y1" s="98"/>
      <c r="AB1" s="86">
        <v>0</v>
      </c>
      <c r="AC1" s="98"/>
    </row>
    <row r="2" spans="1:29" ht="17.25" x14ac:dyDescent="0.4">
      <c r="B2" s="1319" t="s">
        <v>59</v>
      </c>
      <c r="C2" s="1320">
        <v>9222</v>
      </c>
      <c r="D2" s="1482"/>
      <c r="E2" s="1241"/>
      <c r="F2" s="98"/>
      <c r="G2" s="1544"/>
      <c r="H2" s="1482"/>
      <c r="I2" s="1241"/>
      <c r="K2" s="81"/>
      <c r="L2" s="87"/>
      <c r="M2" s="1241"/>
      <c r="N2" s="51"/>
      <c r="O2" s="81"/>
      <c r="P2" s="87"/>
      <c r="Q2" s="1241"/>
      <c r="T2" s="87">
        <v>0</v>
      </c>
      <c r="U2" s="98"/>
      <c r="X2" s="87">
        <v>0</v>
      </c>
      <c r="Y2" s="98"/>
      <c r="AB2" s="87">
        <v>0</v>
      </c>
      <c r="AC2" s="98"/>
    </row>
    <row r="3" spans="1:29" x14ac:dyDescent="0.25">
      <c r="D3" s="1483"/>
      <c r="E3" s="1253"/>
      <c r="F3" s="1484"/>
      <c r="G3" s="1545"/>
      <c r="H3" s="1483"/>
      <c r="I3" s="1253"/>
      <c r="K3" s="81"/>
      <c r="L3" s="123"/>
      <c r="M3" s="1254"/>
      <c r="N3" s="51"/>
      <c r="O3" s="81"/>
      <c r="P3" s="123"/>
      <c r="Q3" s="1254"/>
      <c r="T3" s="86">
        <f>SUM(T1:T2)</f>
        <v>0</v>
      </c>
      <c r="U3" s="51"/>
      <c r="X3" s="86">
        <f>SUM(X1:X2)</f>
        <v>0</v>
      </c>
      <c r="Y3" s="51"/>
      <c r="AB3" s="86">
        <f>SUM(AB1:AB2)</f>
        <v>0</v>
      </c>
      <c r="AC3" s="51"/>
    </row>
    <row r="4" spans="1:29" x14ac:dyDescent="0.25">
      <c r="D4" s="36"/>
      <c r="E4" s="1254"/>
      <c r="F4" s="51"/>
      <c r="G4" s="1540"/>
      <c r="K4" s="81"/>
      <c r="L4" s="123"/>
      <c r="M4" s="1254"/>
      <c r="N4" s="51"/>
      <c r="O4" s="81"/>
      <c r="P4" s="123"/>
      <c r="Q4" s="1254"/>
      <c r="T4" s="86"/>
      <c r="U4" s="51"/>
      <c r="X4" s="86"/>
      <c r="Y4" s="51"/>
      <c r="AB4" s="86"/>
      <c r="AC4" s="51"/>
    </row>
    <row r="5" spans="1:29" ht="15.75" x14ac:dyDescent="0.25">
      <c r="B5" s="1321" t="s">
        <v>56</v>
      </c>
      <c r="P5" s="124"/>
      <c r="T5" s="73"/>
      <c r="X5" s="73"/>
      <c r="AB5" s="73"/>
    </row>
    <row r="6" spans="1:29" s="89" customFormat="1" ht="15.75" x14ac:dyDescent="0.25">
      <c r="A6" s="148"/>
      <c r="B6" s="1322"/>
      <c r="C6" s="1322"/>
      <c r="D6" s="1412" t="s">
        <v>55</v>
      </c>
      <c r="E6" s="1244"/>
      <c r="G6" s="1535"/>
      <c r="H6" s="426" t="str">
        <f>LEFT(D6,4)+1&amp;"-"&amp;RIGHT(D6,4)+1</f>
        <v>2017-2018</v>
      </c>
      <c r="I6" s="1255"/>
      <c r="J6" s="93"/>
      <c r="K6" s="1569"/>
      <c r="L6" s="125" t="str">
        <f>LEFT(H6,4)+1&amp;"-"&amp;RIGHT(H6,4)+1</f>
        <v>2018-2019</v>
      </c>
      <c r="M6" s="1333"/>
      <c r="N6" s="96"/>
      <c r="O6" s="1583"/>
      <c r="P6" s="125" t="str">
        <f>LEFT(L6,4)+1&amp;"-"&amp;RIGHT(L6,4)+1</f>
        <v>2019-2020</v>
      </c>
      <c r="Q6" s="1333"/>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323" t="s">
        <v>54</v>
      </c>
      <c r="D7" s="2">
        <v>0</v>
      </c>
      <c r="E7" s="1315"/>
      <c r="H7" s="2">
        <f>D89</f>
        <v>0</v>
      </c>
      <c r="I7" s="1315"/>
      <c r="J7" s="60"/>
      <c r="L7" s="2">
        <f>H89</f>
        <v>0</v>
      </c>
      <c r="M7" s="1315"/>
      <c r="P7" s="2">
        <f>L89</f>
        <v>0</v>
      </c>
      <c r="Q7" s="1315"/>
      <c r="T7" s="2">
        <f>P89</f>
        <v>0</v>
      </c>
      <c r="U7" s="105"/>
      <c r="X7" s="2">
        <f>T89</f>
        <v>0</v>
      </c>
      <c r="Y7" s="105"/>
      <c r="AB7" s="2">
        <f>X89</f>
        <v>0</v>
      </c>
      <c r="AC7" s="105"/>
    </row>
    <row r="8" spans="1:29" x14ac:dyDescent="0.25">
      <c r="E8" s="1315"/>
      <c r="H8" s="2"/>
      <c r="I8" s="1315"/>
      <c r="L8" s="2"/>
      <c r="M8" s="1315"/>
      <c r="Q8" s="1315"/>
      <c r="U8" s="105"/>
      <c r="Y8" s="105"/>
      <c r="AC8" s="105"/>
    </row>
    <row r="9" spans="1:29" x14ac:dyDescent="0.25">
      <c r="B9" s="1317" t="s">
        <v>52</v>
      </c>
      <c r="C9" s="1243" t="s">
        <v>713</v>
      </c>
      <c r="D9" s="2">
        <v>0</v>
      </c>
      <c r="E9" s="1315"/>
      <c r="G9" s="1527" t="str">
        <f>IF(D9=0,"0.00%",(H9-D9)/D9)</f>
        <v>0.00%</v>
      </c>
      <c r="H9" s="3">
        <v>8623</v>
      </c>
      <c r="I9" s="1315" t="s">
        <v>174</v>
      </c>
      <c r="J9" s="61"/>
      <c r="K9" s="1527">
        <f>IF(H9=0,"0.00%",(L9-H9)/H9)</f>
        <v>-1</v>
      </c>
      <c r="L9" s="3">
        <v>0</v>
      </c>
      <c r="M9" s="1315" t="s">
        <v>174</v>
      </c>
      <c r="O9" s="1527" t="str">
        <f>IF(L9=0,"0.00%",(P9-L9)/L9)</f>
        <v>0.00%</v>
      </c>
      <c r="P9" s="3">
        <f>+L9</f>
        <v>0</v>
      </c>
      <c r="Q9" s="1315" t="s">
        <v>174</v>
      </c>
      <c r="S9" s="83" t="str">
        <f>IF(P9=0,"0.00%",(T9-P9)/P9)</f>
        <v>0.00%</v>
      </c>
      <c r="T9" s="3">
        <f>+P9</f>
        <v>0</v>
      </c>
      <c r="U9" s="105" t="s">
        <v>174</v>
      </c>
      <c r="W9" s="83" t="str">
        <f>IF(T9=0,"0.00%",(X9-T9)/T9)</f>
        <v>0.00%</v>
      </c>
      <c r="X9" s="3">
        <f>X3</f>
        <v>0</v>
      </c>
      <c r="Y9" s="105"/>
      <c r="AA9" s="83" t="str">
        <f>IF(X9=0,"0.00%",(AB9-X9)/X9)</f>
        <v>0.00%</v>
      </c>
      <c r="AB9" s="3">
        <f>AB3</f>
        <v>0</v>
      </c>
      <c r="AC9" s="105"/>
    </row>
    <row r="10" spans="1:29" x14ac:dyDescent="0.25">
      <c r="D10" s="2">
        <v>0</v>
      </c>
      <c r="E10" s="1315"/>
      <c r="G10" s="1527" t="str">
        <f t="shared" ref="G10:G15" si="0">IF(D10=0,"0.00%",(H10-D10)/D10)</f>
        <v>0.00%</v>
      </c>
      <c r="H10" s="3">
        <v>0</v>
      </c>
      <c r="I10" s="1315"/>
      <c r="J10" s="61"/>
      <c r="K10" s="1527" t="str">
        <f>IF(H10=0,"0.00%",(L10-H10)/H10)</f>
        <v>0.00%</v>
      </c>
      <c r="L10" s="3">
        <f>-H2</f>
        <v>0</v>
      </c>
      <c r="M10" s="1315"/>
      <c r="O10" s="1527" t="str">
        <f>IF(L10=0,"0.00%",(P10-L10)/L10)</f>
        <v>0.00%</v>
      </c>
      <c r="P10" s="3">
        <f>-L2</f>
        <v>0</v>
      </c>
      <c r="Q10" s="131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323" t="s">
        <v>137</v>
      </c>
      <c r="D11" s="8">
        <f>SUM(D9:D10)</f>
        <v>0</v>
      </c>
      <c r="E11" s="1315"/>
      <c r="G11" s="1527" t="str">
        <f t="shared" si="0"/>
        <v>0.00%</v>
      </c>
      <c r="H11" s="8">
        <f>SUM(H9:H10)</f>
        <v>8623</v>
      </c>
      <c r="I11" s="1315"/>
      <c r="J11" s="62"/>
      <c r="K11" s="1527">
        <f>IF(H11=0,"0.00%",(L11-H11)/H11)</f>
        <v>-1</v>
      </c>
      <c r="L11" s="8">
        <f>SUM(L9:L10)</f>
        <v>0</v>
      </c>
      <c r="M11" s="1315"/>
      <c r="O11" s="1527" t="str">
        <f>IF(L11=0,"0.00%",(P11-L11)/L11)</f>
        <v>0.00%</v>
      </c>
      <c r="P11" s="8">
        <f>SUM(P9:P10)</f>
        <v>0</v>
      </c>
      <c r="Q11" s="1315"/>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315"/>
      <c r="H12" s="3"/>
      <c r="I12" s="1315"/>
      <c r="J12" s="63"/>
      <c r="K12" s="1399"/>
      <c r="L12" s="3"/>
      <c r="M12" s="1315"/>
      <c r="O12" s="1399"/>
      <c r="P12" s="3"/>
      <c r="Q12" s="1315"/>
      <c r="S12" s="46"/>
      <c r="T12" s="44"/>
      <c r="U12" s="105"/>
      <c r="W12" s="46"/>
      <c r="X12" s="44"/>
      <c r="Y12" s="105"/>
      <c r="AA12" s="46"/>
      <c r="AB12" s="44"/>
      <c r="AC12" s="105"/>
    </row>
    <row r="13" spans="1:29" x14ac:dyDescent="0.25">
      <c r="B13" s="1324"/>
      <c r="C13" s="1325" t="s">
        <v>64</v>
      </c>
      <c r="D13" s="9">
        <f>ROUND(D11-(D11/(1+B13)),0)</f>
        <v>0</v>
      </c>
      <c r="E13" s="1315"/>
      <c r="G13" s="1527" t="str">
        <f t="shared" si="0"/>
        <v>0.00%</v>
      </c>
      <c r="H13" s="9">
        <f>ROUND(H11-(H11/(1+B13)),0)</f>
        <v>0</v>
      </c>
      <c r="I13" s="1315"/>
      <c r="J13" s="64"/>
      <c r="K13" s="1527" t="str">
        <f>IF(H13=0,"0.00%",(L13-H13)/H13)</f>
        <v>0.00%</v>
      </c>
      <c r="L13" s="9">
        <f>ROUND(L11-(L11/(1+B13)),0)</f>
        <v>0</v>
      </c>
      <c r="M13" s="1315"/>
      <c r="O13" s="1527" t="str">
        <f>IF(L13=0,"0.00%",(P13-L13)/L13)</f>
        <v>0.00%</v>
      </c>
      <c r="P13" s="9">
        <f>ROUND(P11-(P11/(1+B13)),0)</f>
        <v>0</v>
      </c>
      <c r="Q13" s="131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315"/>
      <c r="H14" s="3"/>
      <c r="I14" s="1315"/>
      <c r="J14" s="63"/>
      <c r="K14" s="1399"/>
      <c r="L14" s="3"/>
      <c r="M14" s="1315"/>
      <c r="O14" s="1399"/>
      <c r="P14" s="3"/>
      <c r="Q14" s="1315"/>
      <c r="S14" s="46"/>
      <c r="T14" s="44"/>
      <c r="U14" s="105"/>
      <c r="W14" s="46"/>
      <c r="X14" s="44"/>
      <c r="Y14" s="105"/>
      <c r="AA14" s="46"/>
      <c r="AB14" s="44"/>
      <c r="AC14" s="105"/>
    </row>
    <row r="15" spans="1:29" x14ac:dyDescent="0.25">
      <c r="B15" s="1323" t="s">
        <v>50</v>
      </c>
      <c r="D15" s="10">
        <f>D11-D13</f>
        <v>0</v>
      </c>
      <c r="E15" s="1315"/>
      <c r="G15" s="1527" t="str">
        <f t="shared" si="0"/>
        <v>0.00%</v>
      </c>
      <c r="H15" s="9">
        <f>H11-H13</f>
        <v>8623</v>
      </c>
      <c r="I15" s="1315"/>
      <c r="J15" s="62"/>
      <c r="K15" s="1527">
        <f>IF(H15=0,"0.00%",(L15-H15)/H15)</f>
        <v>-1</v>
      </c>
      <c r="L15" s="9">
        <f>L11-L13</f>
        <v>0</v>
      </c>
      <c r="M15" s="1315"/>
      <c r="O15" s="1527" t="str">
        <f>IF(L15=0,"0.00%",(P15-L15)/L15)</f>
        <v>0.00%</v>
      </c>
      <c r="P15" s="9">
        <f>P11-P13</f>
        <v>0</v>
      </c>
      <c r="Q15" s="1315"/>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1315"/>
      <c r="H16" s="3"/>
      <c r="I16" s="1315"/>
      <c r="J16" s="62"/>
      <c r="L16" s="3"/>
      <c r="M16" s="1315"/>
      <c r="P16" s="3"/>
      <c r="Q16" s="1315"/>
      <c r="T16" s="49"/>
      <c r="U16" s="105"/>
      <c r="X16" s="49"/>
      <c r="Y16" s="105"/>
      <c r="AB16" s="49"/>
      <c r="AC16" s="105"/>
    </row>
    <row r="17" spans="1:29" x14ac:dyDescent="0.25">
      <c r="C17" s="1317"/>
      <c r="E17" s="1315"/>
      <c r="H17" s="3"/>
      <c r="I17" s="1315"/>
      <c r="J17" s="63"/>
      <c r="L17" s="3"/>
      <c r="M17" s="1315"/>
      <c r="P17" s="3"/>
      <c r="Q17" s="1315"/>
      <c r="T17" s="44"/>
      <c r="U17" s="105"/>
      <c r="X17" s="44"/>
      <c r="Y17" s="105"/>
      <c r="AB17" s="44"/>
      <c r="AC17" s="105"/>
    </row>
    <row r="18" spans="1:29" x14ac:dyDescent="0.25">
      <c r="A18" s="149"/>
      <c r="D18" s="29" t="s">
        <v>874</v>
      </c>
      <c r="E18" s="1316"/>
      <c r="F18" s="32"/>
      <c r="H18" s="29" t="s">
        <v>177</v>
      </c>
      <c r="I18" s="1316"/>
      <c r="J18" s="65"/>
      <c r="M18" s="1316"/>
      <c r="Q18" s="1316"/>
      <c r="U18" s="106"/>
      <c r="Y18" s="106"/>
      <c r="AC18" s="106"/>
    </row>
    <row r="19" spans="1:29" ht="17.25" x14ac:dyDescent="0.4">
      <c r="A19" s="150"/>
      <c r="D19" s="35" t="s">
        <v>875</v>
      </c>
      <c r="E19" s="1246"/>
      <c r="F19" s="34"/>
      <c r="H19" s="35" t="s">
        <v>48</v>
      </c>
      <c r="I19" s="1256">
        <v>0.02</v>
      </c>
      <c r="J19" s="29"/>
      <c r="L19" s="14" t="s">
        <v>48</v>
      </c>
      <c r="M19" s="1256">
        <v>0.02</v>
      </c>
      <c r="P19" s="14" t="s">
        <v>48</v>
      </c>
      <c r="Q19" s="1256">
        <v>0.02</v>
      </c>
      <c r="T19" s="14" t="s">
        <v>48</v>
      </c>
      <c r="U19" s="104">
        <v>0.02</v>
      </c>
      <c r="X19" s="14" t="s">
        <v>48</v>
      </c>
      <c r="Y19" s="104">
        <v>0.02</v>
      </c>
      <c r="AB19" s="14" t="s">
        <v>48</v>
      </c>
      <c r="AC19" s="104">
        <v>0.02</v>
      </c>
    </row>
    <row r="20" spans="1:29" s="13" customFormat="1" hidden="1" x14ac:dyDescent="0.25">
      <c r="A20" s="151"/>
      <c r="B20" s="1323" t="s">
        <v>46</v>
      </c>
      <c r="C20" s="1325"/>
      <c r="D20" s="10"/>
      <c r="E20" s="1247"/>
      <c r="F20" s="10"/>
      <c r="G20" s="1538"/>
      <c r="H20" s="10"/>
      <c r="I20" s="1250"/>
      <c r="J20" s="57"/>
      <c r="K20" s="1570"/>
      <c r="L20" s="10"/>
      <c r="M20" s="1334"/>
      <c r="O20" s="1570"/>
      <c r="P20" s="10"/>
      <c r="Q20" s="1334"/>
      <c r="R20" s="111"/>
      <c r="T20" s="10"/>
      <c r="U20" s="74"/>
      <c r="X20" s="10"/>
      <c r="Y20" s="74"/>
      <c r="AB20" s="10"/>
      <c r="AC20" s="74"/>
    </row>
    <row r="21" spans="1:29" hidden="1" x14ac:dyDescent="0.25">
      <c r="A21" s="152"/>
      <c r="B21" s="1326"/>
      <c r="D21" s="2">
        <v>0</v>
      </c>
      <c r="E21" s="1249"/>
      <c r="F21" s="2"/>
      <c r="G21" s="1527" t="str">
        <f t="shared" ref="G21:G30" si="1">IF(D21=0,"0.00%",(H21-D21)/D21)</f>
        <v>0.00%</v>
      </c>
      <c r="H21" s="2">
        <f t="shared" ref="H21:H27" si="2">ROUND(D21*(1+$I$19),0)</f>
        <v>0</v>
      </c>
      <c r="I21" s="1240" t="str">
        <f t="shared" ref="I21:I28" si="3">TEXT($I$19,"0.0%")&amp;" = Est. S &amp; C"</f>
        <v>2.0% = Est. S &amp; C</v>
      </c>
      <c r="J21" s="66"/>
      <c r="K21" s="1527" t="str">
        <f t="shared" ref="K21:K27" si="4">IF(H21=0,"0.00%",(L21-H21)/H21)</f>
        <v>0.00%</v>
      </c>
      <c r="L21" s="2">
        <f>ROUND(H21*(1+M19),0)</f>
        <v>0</v>
      </c>
      <c r="M21" s="1257" t="str">
        <f>TEXT(M19,"0.0%")&amp;" = Est. S &amp; C"</f>
        <v>2.0% = Est. S &amp; C</v>
      </c>
      <c r="O21" s="1527" t="str">
        <f t="shared" ref="O21:O27" si="5">IF(L21=0,"0.00%",(P21-L21)/L21)</f>
        <v>0.00%</v>
      </c>
      <c r="P21" s="2">
        <f>ROUND(L21*(1+Q19),0)</f>
        <v>0</v>
      </c>
      <c r="Q21" s="125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3"/>
      <c r="B22" s="1326"/>
      <c r="D22" s="2">
        <v>0</v>
      </c>
      <c r="E22" s="1249"/>
      <c r="F22" s="2"/>
      <c r="G22" s="1527" t="str">
        <f t="shared" si="1"/>
        <v>0.00%</v>
      </c>
      <c r="H22" s="2">
        <f t="shared" si="2"/>
        <v>0</v>
      </c>
      <c r="I22" s="1257" t="str">
        <f t="shared" si="3"/>
        <v>2.0% = Est. S &amp; C</v>
      </c>
      <c r="J22" s="66"/>
      <c r="K22" s="1527" t="str">
        <f t="shared" si="4"/>
        <v>0.00%</v>
      </c>
      <c r="L22" s="2">
        <f>ROUND(H22*(1+M19),0)</f>
        <v>0</v>
      </c>
      <c r="M22" s="1257" t="str">
        <f>TEXT(M19,"0.0%")&amp;" = Est. S &amp; C"</f>
        <v>2.0% = Est. S &amp; C</v>
      </c>
      <c r="O22" s="1527" t="str">
        <f t="shared" si="5"/>
        <v>0.00%</v>
      </c>
      <c r="P22" s="2">
        <f>ROUND(L22*(1+Q19),0)</f>
        <v>0</v>
      </c>
      <c r="Q22" s="125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3"/>
      <c r="B23" s="1326"/>
      <c r="D23" s="2">
        <v>0</v>
      </c>
      <c r="E23" s="1249"/>
      <c r="F23" s="2"/>
      <c r="G23" s="1527" t="str">
        <f t="shared" si="1"/>
        <v>0.00%</v>
      </c>
      <c r="H23" s="2">
        <f t="shared" si="2"/>
        <v>0</v>
      </c>
      <c r="I23" s="1257" t="str">
        <f t="shared" si="3"/>
        <v>2.0% = Est. S &amp; C</v>
      </c>
      <c r="J23" s="66"/>
      <c r="K23" s="1527" t="str">
        <f t="shared" si="4"/>
        <v>0.00%</v>
      </c>
      <c r="L23" s="2">
        <f>ROUND(H23*(1+M19),0)</f>
        <v>0</v>
      </c>
      <c r="M23" s="1257" t="str">
        <f>TEXT(M19,"0.0%")&amp;" = Est. S &amp; C"</f>
        <v>2.0% = Est. S &amp; C</v>
      </c>
      <c r="O23" s="1527" t="str">
        <f t="shared" si="5"/>
        <v>0.00%</v>
      </c>
      <c r="P23" s="2">
        <f>ROUND(L23*(1+Q19),0)</f>
        <v>0</v>
      </c>
      <c r="Q23" s="125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3"/>
      <c r="B24" s="1326"/>
      <c r="D24" s="2">
        <v>0</v>
      </c>
      <c r="E24" s="1249"/>
      <c r="F24" s="2"/>
      <c r="G24" s="1527" t="str">
        <f t="shared" si="1"/>
        <v>0.00%</v>
      </c>
      <c r="H24" s="2">
        <f t="shared" si="2"/>
        <v>0</v>
      </c>
      <c r="I24" s="1257" t="str">
        <f t="shared" si="3"/>
        <v>2.0% = Est. S &amp; C</v>
      </c>
      <c r="J24" s="66"/>
      <c r="K24" s="1527" t="str">
        <f t="shared" si="4"/>
        <v>0.00%</v>
      </c>
      <c r="L24" s="2">
        <f>ROUND(H24*(1+M19),0)</f>
        <v>0</v>
      </c>
      <c r="M24" s="1257" t="str">
        <f>TEXT(M19,"0.0%")&amp;" = Est. S &amp; C"</f>
        <v>2.0% = Est. S &amp; C</v>
      </c>
      <c r="O24" s="1527" t="str">
        <f t="shared" si="5"/>
        <v>0.00%</v>
      </c>
      <c r="P24" s="2">
        <f>ROUND(L24*(1+Q19),0)</f>
        <v>0</v>
      </c>
      <c r="Q24" s="125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3"/>
      <c r="B25" s="1326"/>
      <c r="D25" s="2">
        <v>0</v>
      </c>
      <c r="E25" s="1249"/>
      <c r="F25" s="2"/>
      <c r="G25" s="1527" t="str">
        <f t="shared" si="1"/>
        <v>0.00%</v>
      </c>
      <c r="H25" s="2">
        <f t="shared" si="2"/>
        <v>0</v>
      </c>
      <c r="I25" s="1257" t="str">
        <f t="shared" si="3"/>
        <v>2.0% = Est. S &amp; C</v>
      </c>
      <c r="J25" s="66"/>
      <c r="K25" s="1527" t="str">
        <f t="shared" si="4"/>
        <v>0.00%</v>
      </c>
      <c r="L25" s="2">
        <f>ROUND(H25*(1+M19),0)</f>
        <v>0</v>
      </c>
      <c r="M25" s="1257" t="str">
        <f>TEXT(M19,"0.0%")&amp;" = Est. S &amp; C"</f>
        <v>2.0% = Est. S &amp; C</v>
      </c>
      <c r="O25" s="1527" t="str">
        <f t="shared" si="5"/>
        <v>0.00%</v>
      </c>
      <c r="P25" s="2">
        <f>ROUND(L25*(1+Q19),0)</f>
        <v>0</v>
      </c>
      <c r="Q25" s="125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3"/>
      <c r="B26" s="1326"/>
      <c r="D26" s="2">
        <v>0</v>
      </c>
      <c r="E26" s="1249"/>
      <c r="F26" s="2"/>
      <c r="G26" s="1527" t="str">
        <f t="shared" si="1"/>
        <v>0.00%</v>
      </c>
      <c r="H26" s="2">
        <f t="shared" si="2"/>
        <v>0</v>
      </c>
      <c r="I26" s="1257" t="str">
        <f t="shared" si="3"/>
        <v>2.0% = Est. S &amp; C</v>
      </c>
      <c r="J26" s="66"/>
      <c r="K26" s="1527" t="str">
        <f t="shared" si="4"/>
        <v>0.00%</v>
      </c>
      <c r="L26" s="2">
        <f>ROUND(H26*(1+M19),0)</f>
        <v>0</v>
      </c>
      <c r="M26" s="1257" t="str">
        <f>TEXT(M19,"0.0%")&amp;" = Est. S &amp; C"</f>
        <v>2.0% = Est. S &amp; C</v>
      </c>
      <c r="O26" s="1527" t="str">
        <f t="shared" si="5"/>
        <v>0.00%</v>
      </c>
      <c r="P26" s="2">
        <f>ROUND(L26*(1+Q19),0)</f>
        <v>0</v>
      </c>
      <c r="Q26" s="125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3"/>
      <c r="B27" s="1326"/>
      <c r="D27" s="2">
        <v>0</v>
      </c>
      <c r="E27" s="1249"/>
      <c r="F27" s="2"/>
      <c r="G27" s="1527" t="str">
        <f t="shared" si="1"/>
        <v>0.00%</v>
      </c>
      <c r="H27" s="2">
        <f t="shared" si="2"/>
        <v>0</v>
      </c>
      <c r="I27" s="1257" t="str">
        <f t="shared" si="3"/>
        <v>2.0% = Est. S &amp; C</v>
      </c>
      <c r="J27" s="66"/>
      <c r="K27" s="1527" t="str">
        <f t="shared" si="4"/>
        <v>0.00%</v>
      </c>
      <c r="L27" s="2">
        <f>ROUND(H27*(1+M19),0)</f>
        <v>0</v>
      </c>
      <c r="M27" s="1257" t="str">
        <f>TEXT(M19,"0.0%")&amp;" = Est. S &amp; C"</f>
        <v>2.0% = Est. S &amp; C</v>
      </c>
      <c r="O27" s="1527" t="str">
        <f t="shared" si="5"/>
        <v>0.00%</v>
      </c>
      <c r="P27" s="2">
        <f>ROUND(L27*(1+Q19),0)</f>
        <v>0</v>
      </c>
      <c r="Q27" s="125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3"/>
      <c r="B28" s="1326"/>
      <c r="D28" s="2">
        <v>0</v>
      </c>
      <c r="E28" s="1249"/>
      <c r="F28" s="2"/>
      <c r="G28" s="1527" t="str">
        <f>IF(D28=0,"0.00%",(H28-D28)/D28)</f>
        <v>0.00%</v>
      </c>
      <c r="H28" s="2">
        <f>ROUND(D28*(1+$I$19),0)</f>
        <v>0</v>
      </c>
      <c r="I28" s="1257" t="str">
        <f t="shared" si="3"/>
        <v>2.0% = Est. S &amp; C</v>
      </c>
      <c r="J28" s="66"/>
      <c r="K28" s="1527" t="str">
        <f>IF(H28=0,"0.00%",(L28-H28)/H28)</f>
        <v>0.00%</v>
      </c>
      <c r="L28" s="2">
        <f>ROUND(H28*(1+M20),0)</f>
        <v>0</v>
      </c>
      <c r="M28" s="1257" t="str">
        <f>TEXT(M20,"0.0%")&amp;" = Est. S &amp; C"</f>
        <v>0.0% = Est. S &amp; C</v>
      </c>
      <c r="O28" s="1527" t="str">
        <f>IF(L28=0,"0.00%",(P28-L28)/L28)</f>
        <v>0.00%</v>
      </c>
      <c r="P28" s="2">
        <f>ROUND(L28*(1+Q20),0)</f>
        <v>0</v>
      </c>
      <c r="Q28" s="125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3"/>
      <c r="B29" s="1326"/>
      <c r="E29" s="1249"/>
      <c r="F29" s="2"/>
      <c r="G29" s="1527"/>
      <c r="H29" s="2"/>
      <c r="I29" s="1257"/>
      <c r="J29" s="66"/>
      <c r="L29" s="2"/>
      <c r="M29" s="1335"/>
      <c r="Q29" s="1335"/>
      <c r="T29" s="2"/>
      <c r="U29" s="73"/>
      <c r="X29" s="2"/>
      <c r="Y29" s="73"/>
      <c r="AB29" s="2"/>
      <c r="AC29" s="73"/>
    </row>
    <row r="30" spans="1:29" hidden="1" x14ac:dyDescent="0.25">
      <c r="A30" s="154"/>
      <c r="B30" s="1326"/>
      <c r="D30" s="8">
        <f>SUM(D21:D29)</f>
        <v>0</v>
      </c>
      <c r="E30" s="1249"/>
      <c r="F30" s="2"/>
      <c r="G30" s="1527" t="str">
        <f t="shared" si="1"/>
        <v>0.00%</v>
      </c>
      <c r="H30" s="8">
        <f>SUM(H21:H29)</f>
        <v>0</v>
      </c>
      <c r="I30" s="1258"/>
      <c r="J30" s="29"/>
      <c r="K30" s="1527" t="str">
        <f>IF(H30=0,"0.00%",(L30-H30)/H30)</f>
        <v>0.00%</v>
      </c>
      <c r="L30" s="8">
        <f>SUM(L21:L29)</f>
        <v>0</v>
      </c>
      <c r="M30" s="1335"/>
      <c r="O30" s="1527" t="str">
        <f>IF(L30=0,"0.00%",(P30-L30)/L30)</f>
        <v>0.00%</v>
      </c>
      <c r="P30" s="8">
        <f>SUM(P21:P29)</f>
        <v>0</v>
      </c>
      <c r="Q30" s="1335"/>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3"/>
      <c r="E31" s="1249"/>
      <c r="F31" s="2"/>
      <c r="H31" s="2"/>
      <c r="I31" s="1240"/>
      <c r="J31" s="66"/>
      <c r="L31" s="2"/>
      <c r="M31" s="1336"/>
      <c r="Q31" s="1336"/>
      <c r="T31" s="2"/>
      <c r="U31" s="73"/>
      <c r="X31" s="2"/>
      <c r="Y31" s="73"/>
      <c r="AB31" s="2"/>
      <c r="AC31" s="73"/>
    </row>
    <row r="32" spans="1:29" s="4" customFormat="1" hidden="1" x14ac:dyDescent="0.25">
      <c r="A32" s="151"/>
      <c r="B32" s="1327" t="s">
        <v>35</v>
      </c>
      <c r="C32" s="1259"/>
      <c r="D32" s="6"/>
      <c r="E32" s="1250"/>
      <c r="F32" s="6"/>
      <c r="G32" s="1539"/>
      <c r="H32" s="6"/>
      <c r="I32" s="1250"/>
      <c r="J32" s="57"/>
      <c r="K32" s="1571"/>
      <c r="L32" s="6"/>
      <c r="M32" s="1337"/>
      <c r="O32" s="1571"/>
      <c r="P32" s="6"/>
      <c r="Q32" s="1337"/>
      <c r="R32" s="111"/>
      <c r="T32" s="6"/>
      <c r="U32" s="71"/>
      <c r="X32" s="6"/>
      <c r="Y32" s="71"/>
      <c r="AB32" s="6"/>
      <c r="AC32" s="71"/>
    </row>
    <row r="33" spans="1:29" hidden="1" x14ac:dyDescent="0.25">
      <c r="A33" s="153"/>
      <c r="B33" s="1326"/>
      <c r="D33" s="2">
        <v>0</v>
      </c>
      <c r="E33" s="1249"/>
      <c r="F33" s="2"/>
      <c r="G33" s="1527" t="str">
        <f t="shared" ref="G33:G39" si="9">IF(D33=0,"0.00%",(H33-D33)/D33)</f>
        <v>0.00%</v>
      </c>
      <c r="H33" s="2">
        <f t="shared" ref="H33:H39" si="10">ROUND(D33*(1+$I$19),0)</f>
        <v>0</v>
      </c>
      <c r="I33" s="1257" t="str">
        <f t="shared" ref="I33:I39" si="11">TEXT($I$19,"0.0%")&amp;" = Est. S &amp; C"</f>
        <v>2.0% = Est. S &amp; C</v>
      </c>
      <c r="J33" s="66"/>
      <c r="K33" s="1527" t="str">
        <f t="shared" ref="K33:K39" si="12">IF(H33=0,"0.00%",(L33-H33)/H33)</f>
        <v>0.00%</v>
      </c>
      <c r="L33" s="2">
        <f>ROUND(H33*(1+M19),0)</f>
        <v>0</v>
      </c>
      <c r="M33" s="1257" t="str">
        <f>TEXT(M19,"0.0%")&amp;" = Est. S &amp; C"</f>
        <v>2.0% = Est. S &amp; C</v>
      </c>
      <c r="O33" s="1527" t="str">
        <f t="shared" ref="O33:O39" si="13">IF(L33=0,"0.00%",(P33-L33)/L33)</f>
        <v>0.00%</v>
      </c>
      <c r="P33" s="2">
        <f>ROUND(L33*(1+Q19),0)</f>
        <v>0</v>
      </c>
      <c r="Q33" s="125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3"/>
      <c r="B34" s="1326"/>
      <c r="D34" s="2">
        <v>0</v>
      </c>
      <c r="E34" s="1249"/>
      <c r="F34" s="2"/>
      <c r="G34" s="1527" t="str">
        <f t="shared" si="9"/>
        <v>0.00%</v>
      </c>
      <c r="H34" s="2">
        <f t="shared" si="10"/>
        <v>0</v>
      </c>
      <c r="I34" s="1257" t="str">
        <f t="shared" si="11"/>
        <v>2.0% = Est. S &amp; C</v>
      </c>
      <c r="J34" s="66"/>
      <c r="K34" s="1527" t="str">
        <f t="shared" si="12"/>
        <v>0.00%</v>
      </c>
      <c r="L34" s="2">
        <f>ROUND(H34*(1+M19),0)</f>
        <v>0</v>
      </c>
      <c r="M34" s="1257" t="str">
        <f>TEXT(M19,"0.0%")&amp;" = Est. S &amp; C"</f>
        <v>2.0% = Est. S &amp; C</v>
      </c>
      <c r="O34" s="1527" t="str">
        <f t="shared" si="13"/>
        <v>0.00%</v>
      </c>
      <c r="P34" s="2">
        <f>ROUND(L34*(1+Q19),0)</f>
        <v>0</v>
      </c>
      <c r="Q34" s="125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3"/>
      <c r="B35" s="1326"/>
      <c r="D35" s="2">
        <v>0</v>
      </c>
      <c r="E35" s="1249"/>
      <c r="F35" s="2"/>
      <c r="G35" s="1527" t="str">
        <f t="shared" si="9"/>
        <v>0.00%</v>
      </c>
      <c r="H35" s="2">
        <f t="shared" si="10"/>
        <v>0</v>
      </c>
      <c r="I35" s="1257" t="str">
        <f t="shared" si="11"/>
        <v>2.0% = Est. S &amp; C</v>
      </c>
      <c r="J35" s="66"/>
      <c r="K35" s="1527" t="str">
        <f t="shared" si="12"/>
        <v>0.00%</v>
      </c>
      <c r="L35" s="2">
        <f>ROUND(H35*(1+M19),0)</f>
        <v>0</v>
      </c>
      <c r="M35" s="1257" t="str">
        <f>TEXT(M19,"0.0%")&amp;" = Est. S &amp; C"</f>
        <v>2.0% = Est. S &amp; C</v>
      </c>
      <c r="O35" s="1527" t="str">
        <f t="shared" si="13"/>
        <v>0.00%</v>
      </c>
      <c r="P35" s="2">
        <f>ROUND(L35*(1+Q19),0)</f>
        <v>0</v>
      </c>
      <c r="Q35" s="125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3"/>
      <c r="B36" s="1326"/>
      <c r="D36" s="2">
        <v>0</v>
      </c>
      <c r="E36" s="1249"/>
      <c r="F36" s="2"/>
      <c r="G36" s="1527" t="str">
        <f t="shared" si="9"/>
        <v>0.00%</v>
      </c>
      <c r="H36" s="2">
        <f t="shared" si="10"/>
        <v>0</v>
      </c>
      <c r="I36" s="1257" t="str">
        <f t="shared" si="11"/>
        <v>2.0% = Est. S &amp; C</v>
      </c>
      <c r="J36" s="66"/>
      <c r="K36" s="1527" t="str">
        <f t="shared" si="12"/>
        <v>0.00%</v>
      </c>
      <c r="L36" s="2">
        <f>ROUND(H36*(1+M19),0)</f>
        <v>0</v>
      </c>
      <c r="M36" s="1257" t="str">
        <f>TEXT(M19,"0.0%")&amp;" = Est. S &amp; C"</f>
        <v>2.0% = Est. S &amp; C</v>
      </c>
      <c r="O36" s="1527" t="str">
        <f t="shared" si="13"/>
        <v>0.00%</v>
      </c>
      <c r="P36" s="2">
        <f>ROUND(L36*(1+Q19),0)</f>
        <v>0</v>
      </c>
      <c r="Q36" s="125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3"/>
      <c r="B37" s="1326"/>
      <c r="D37" s="2">
        <v>0</v>
      </c>
      <c r="E37" s="1249"/>
      <c r="F37" s="2"/>
      <c r="G37" s="1527" t="str">
        <f t="shared" si="9"/>
        <v>0.00%</v>
      </c>
      <c r="H37" s="2">
        <f t="shared" si="10"/>
        <v>0</v>
      </c>
      <c r="I37" s="1257" t="str">
        <f t="shared" si="11"/>
        <v>2.0% = Est. S &amp; C</v>
      </c>
      <c r="J37" s="66"/>
      <c r="K37" s="1527" t="str">
        <f t="shared" si="12"/>
        <v>0.00%</v>
      </c>
      <c r="L37" s="2">
        <f>ROUND(H37*(1+M19),0)</f>
        <v>0</v>
      </c>
      <c r="M37" s="1257" t="str">
        <f>TEXT(M19,"0.0%")&amp;" = Est. S &amp; C"</f>
        <v>2.0% = Est. S &amp; C</v>
      </c>
      <c r="O37" s="1527" t="str">
        <f t="shared" si="13"/>
        <v>0.00%</v>
      </c>
      <c r="P37" s="2">
        <f>ROUND(L37*(1+Q19),0)</f>
        <v>0</v>
      </c>
      <c r="Q37" s="125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3"/>
      <c r="B38" s="1326"/>
      <c r="D38" s="2">
        <v>0</v>
      </c>
      <c r="E38" s="1249"/>
      <c r="F38" s="2"/>
      <c r="G38" s="1527" t="str">
        <f t="shared" si="9"/>
        <v>0.00%</v>
      </c>
      <c r="H38" s="2">
        <f t="shared" si="10"/>
        <v>0</v>
      </c>
      <c r="I38" s="1257" t="str">
        <f t="shared" si="11"/>
        <v>2.0% = Est. S &amp; C</v>
      </c>
      <c r="J38" s="66"/>
      <c r="K38" s="1527" t="str">
        <f t="shared" si="12"/>
        <v>0.00%</v>
      </c>
      <c r="L38" s="2">
        <f>ROUND(H38*(1+M19),0)</f>
        <v>0</v>
      </c>
      <c r="M38" s="1257" t="str">
        <f>TEXT(M19,"0.0%")&amp;" = Est. S &amp; C"</f>
        <v>2.0% = Est. S &amp; C</v>
      </c>
      <c r="O38" s="1527" t="str">
        <f t="shared" si="13"/>
        <v>0.00%</v>
      </c>
      <c r="P38" s="2">
        <f>ROUND(L38*(1+Q19),0)</f>
        <v>0</v>
      </c>
      <c r="Q38" s="125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3"/>
      <c r="B39" s="1326"/>
      <c r="D39" s="2">
        <v>0</v>
      </c>
      <c r="E39" s="1249"/>
      <c r="F39" s="2"/>
      <c r="G39" s="1527" t="str">
        <f t="shared" si="9"/>
        <v>0.00%</v>
      </c>
      <c r="H39" s="2">
        <f t="shared" si="10"/>
        <v>0</v>
      </c>
      <c r="I39" s="1257" t="str">
        <f t="shared" si="11"/>
        <v>2.0% = Est. S &amp; C</v>
      </c>
      <c r="J39" s="66"/>
      <c r="K39" s="1527" t="str">
        <f t="shared" si="12"/>
        <v>0.00%</v>
      </c>
      <c r="L39" s="2">
        <f>ROUND(H39*(1+M19),0)</f>
        <v>0</v>
      </c>
      <c r="M39" s="1257" t="str">
        <f>TEXT(M19,"0.0%")&amp;" = Est. S &amp; C"</f>
        <v>2.0% = Est. S &amp; C</v>
      </c>
      <c r="O39" s="1527" t="str">
        <f t="shared" si="13"/>
        <v>0.00%</v>
      </c>
      <c r="P39" s="2">
        <f>ROUND(L39*(1+Q19),0)</f>
        <v>0</v>
      </c>
      <c r="Q39" s="125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3"/>
      <c r="B40" s="1326"/>
      <c r="E40" s="1249"/>
      <c r="F40" s="2"/>
      <c r="H40" s="2"/>
      <c r="I40" s="1257"/>
      <c r="J40" s="66"/>
      <c r="L40" s="2"/>
      <c r="M40" s="1335"/>
      <c r="Q40" s="1335"/>
      <c r="T40" s="2"/>
      <c r="U40" s="73"/>
      <c r="X40" s="2"/>
      <c r="Y40" s="73"/>
      <c r="AB40" s="2"/>
      <c r="AC40" s="73"/>
    </row>
    <row r="41" spans="1:29" hidden="1" x14ac:dyDescent="0.25">
      <c r="A41" s="154"/>
      <c r="B41" s="1326"/>
      <c r="D41" s="8">
        <f>SUM(D33:D40)</f>
        <v>0</v>
      </c>
      <c r="E41" s="1249"/>
      <c r="F41" s="2"/>
      <c r="G41" s="1527" t="str">
        <f>IF(D41=0,"0.00%",(H41-D41)/D41)</f>
        <v>0.00%</v>
      </c>
      <c r="H41" s="8">
        <f>SUM(H33:H40)</f>
        <v>0</v>
      </c>
      <c r="I41" s="1258"/>
      <c r="J41" s="29"/>
      <c r="K41" s="1527" t="str">
        <f>IF(H41=0,"0.00%",(L41-H41)/H41)</f>
        <v>0.00%</v>
      </c>
      <c r="L41" s="8">
        <f>SUM(L33:L40)</f>
        <v>0</v>
      </c>
      <c r="M41" s="1335"/>
      <c r="O41" s="1527" t="str">
        <f>IF(L41=0,"0.00%",(P41-L41)/L41)</f>
        <v>0.00%</v>
      </c>
      <c r="P41" s="8">
        <f>SUM(P33:P40)</f>
        <v>0</v>
      </c>
      <c r="Q41" s="1335"/>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3"/>
      <c r="B42" s="1317" t="s">
        <v>28</v>
      </c>
      <c r="E42" s="1249"/>
      <c r="F42" s="2"/>
      <c r="H42" s="2"/>
      <c r="I42" s="1257"/>
      <c r="J42" s="66"/>
      <c r="L42" s="2"/>
      <c r="M42" s="1335"/>
      <c r="Q42" s="1335"/>
      <c r="T42" s="2"/>
      <c r="U42" s="73"/>
      <c r="X42" s="2"/>
      <c r="Y42" s="73"/>
      <c r="AB42" s="2"/>
      <c r="AC42" s="73"/>
    </row>
    <row r="43" spans="1:29" hidden="1" x14ac:dyDescent="0.25">
      <c r="A43" s="155"/>
      <c r="B43" s="1323" t="s">
        <v>27</v>
      </c>
      <c r="E43" s="1249"/>
      <c r="F43" s="2"/>
      <c r="H43" s="2"/>
      <c r="I43" s="1257"/>
      <c r="J43" s="66"/>
      <c r="L43" s="2"/>
      <c r="M43" s="1335"/>
      <c r="Q43" s="1335"/>
      <c r="T43" s="2"/>
      <c r="U43" s="73"/>
      <c r="X43" s="2"/>
      <c r="Y43" s="73"/>
      <c r="AB43" s="2"/>
      <c r="AC43" s="73"/>
    </row>
    <row r="44" spans="1:29" hidden="1" x14ac:dyDescent="0.25">
      <c r="A44" s="153"/>
      <c r="B44" s="1326" t="s">
        <v>83</v>
      </c>
      <c r="C44" s="1243" t="s">
        <v>76</v>
      </c>
      <c r="D44" s="2">
        <v>0</v>
      </c>
      <c r="E44" s="1240" t="str">
        <f>TEXT('MYP Assumptions'!$D$52,"0.00%")&amp;", STRS rate"</f>
        <v>12.58%, STRS rate</v>
      </c>
      <c r="F44" s="2"/>
      <c r="G44" s="1527" t="str">
        <f t="shared" ref="G44:G53" si="17">IF(D44=0,"0.00%",(H44-D44)/D44)</f>
        <v>0.00%</v>
      </c>
      <c r="H44" s="2">
        <f>ROUND(H30*LEFT(I44,6),0)</f>
        <v>0</v>
      </c>
      <c r="I44" s="1240" t="str">
        <f>TEXT('MYP Assumptions'!E52,"0.00%")&amp;", projected STRS rate"</f>
        <v>14.43%, projected STRS rate</v>
      </c>
      <c r="J44" s="66"/>
      <c r="K44" s="1527" t="str">
        <f t="shared" ref="K44:K53" si="18">IF(H44=0,"0.00%",(L44-H44)/H44)</f>
        <v>0.00%</v>
      </c>
      <c r="L44" s="2">
        <f>ROUND(L30*LEFT(M44,6),0)</f>
        <v>0</v>
      </c>
      <c r="M44" s="1240" t="str">
        <f>TEXT('MYP Assumptions'!F52,"0.00%")&amp;", projected STRS rate"</f>
        <v>16.28%, projected STRS rate</v>
      </c>
      <c r="O44" s="1527" t="str">
        <f t="shared" ref="O44:O53" si="19">IF(L44=0,"0.00%",(P44-L44)/L44)</f>
        <v>0.00%</v>
      </c>
      <c r="P44" s="2">
        <f>ROUND(P30*LEFT(Q44,6),0)</f>
        <v>0</v>
      </c>
      <c r="Q44" s="1240"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hidden="1" x14ac:dyDescent="0.25">
      <c r="A45" s="153"/>
      <c r="B45" s="1326" t="s">
        <v>84</v>
      </c>
      <c r="C45" s="1243" t="s">
        <v>77</v>
      </c>
      <c r="D45" s="2">
        <v>0</v>
      </c>
      <c r="E45" s="1240" t="str">
        <f>TEXT('MYP Assumptions'!$D$53,"0.00%")&amp;", PERS rate"</f>
        <v>13.89%, PERS rate</v>
      </c>
      <c r="F45" s="2"/>
      <c r="G45" s="1527" t="str">
        <f t="shared" si="17"/>
        <v>0.00%</v>
      </c>
      <c r="H45" s="2">
        <f>ROUND(H41*LEFT(I45,6),0)</f>
        <v>0</v>
      </c>
      <c r="I45" s="1240" t="str">
        <f>TEXT('MYP Assumptions'!E53,"0.00%")&amp;", projected PERS rate"</f>
        <v>15.53%, projected PERS rate</v>
      </c>
      <c r="J45" s="66"/>
      <c r="K45" s="1527" t="str">
        <f t="shared" si="18"/>
        <v>0.00%</v>
      </c>
      <c r="L45" s="2">
        <f>ROUND(L41*LEFT(M45,6),0)</f>
        <v>0</v>
      </c>
      <c r="M45" s="1240" t="str">
        <f>TEXT('MYP Assumptions'!F53,"0.00%")&amp;", projected PERS rate"</f>
        <v>18.10%, projected PERS rate</v>
      </c>
      <c r="O45" s="1527" t="str">
        <f t="shared" si="19"/>
        <v>0.00%</v>
      </c>
      <c r="P45" s="2">
        <f>ROUND(P41*LEFT(Q45,6),0)</f>
        <v>0</v>
      </c>
      <c r="Q45" s="1240"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hidden="1" x14ac:dyDescent="0.25">
      <c r="A46" s="153"/>
      <c r="B46" s="1326" t="s">
        <v>85</v>
      </c>
      <c r="C46" s="1243" t="s">
        <v>78</v>
      </c>
      <c r="D46" s="2">
        <v>0</v>
      </c>
      <c r="E46" s="1240" t="str">
        <f>TEXT('MYP Assumptions'!$D$54,"0.00%")&amp;", SS rate"</f>
        <v>6.20%, SS rate</v>
      </c>
      <c r="F46" s="2"/>
      <c r="G46" s="1527" t="str">
        <f t="shared" si="17"/>
        <v>0.00%</v>
      </c>
      <c r="H46" s="2">
        <f>ROUND(H41*LEFT(I46,5),0)</f>
        <v>0</v>
      </c>
      <c r="I46" s="1240" t="str">
        <f>TEXT('MYP Assumptions'!E54,"0.00%")&amp;", no rate change"</f>
        <v>6.20%, no rate change</v>
      </c>
      <c r="J46" s="66"/>
      <c r="K46" s="1527" t="str">
        <f t="shared" si="18"/>
        <v>0.00%</v>
      </c>
      <c r="L46" s="2">
        <f>ROUND(L41*LEFT(M46,5),0)</f>
        <v>0</v>
      </c>
      <c r="M46" s="1240" t="str">
        <f>TEXT('MYP Assumptions'!F54,"0.00%")&amp;", no rate change"</f>
        <v>6.20%, no rate change</v>
      </c>
      <c r="O46" s="1527" t="str">
        <f t="shared" si="19"/>
        <v>0.00%</v>
      </c>
      <c r="P46" s="2">
        <f>ROUND(P41*LEFT(Q46,5),0)</f>
        <v>0</v>
      </c>
      <c r="Q46" s="1240"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hidden="1" x14ac:dyDescent="0.25">
      <c r="A47" s="153"/>
      <c r="B47" s="1326" t="s">
        <v>86</v>
      </c>
      <c r="C47" s="1243" t="s">
        <v>79</v>
      </c>
      <c r="D47" s="2">
        <v>0</v>
      </c>
      <c r="E47" s="1240" t="str">
        <f>TEXT('MYP Assumptions'!$D$55,"0.00%")&amp;", Medicare rate"</f>
        <v>1.45%, Medicare rate</v>
      </c>
      <c r="F47" s="2"/>
      <c r="G47" s="1527" t="str">
        <f t="shared" si="17"/>
        <v>0.00%</v>
      </c>
      <c r="H47" s="2">
        <f>ROUND((H41+H30)*LEFT(I47,5),0)</f>
        <v>0</v>
      </c>
      <c r="I47" s="1240" t="str">
        <f>TEXT('MYP Assumptions'!E55,"0.00%")&amp;", no rate change"</f>
        <v>1.45%, no rate change</v>
      </c>
      <c r="J47" s="66"/>
      <c r="K47" s="1527" t="str">
        <f t="shared" si="18"/>
        <v>0.00%</v>
      </c>
      <c r="L47" s="2">
        <f>ROUND((L41+L30)*LEFT(M47,5),0)</f>
        <v>0</v>
      </c>
      <c r="M47" s="1240" t="str">
        <f>TEXT('MYP Assumptions'!F55,"0.00%")&amp;", no rate change"</f>
        <v>1.45%, no rate change</v>
      </c>
      <c r="O47" s="1527" t="str">
        <f t="shared" si="19"/>
        <v>0.00%</v>
      </c>
      <c r="P47" s="2">
        <f>ROUND((P41+P30)*LEFT(Q47,5),0)</f>
        <v>0</v>
      </c>
      <c r="Q47" s="1240"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hidden="1" x14ac:dyDescent="0.25">
      <c r="A48" s="153"/>
      <c r="B48" s="1326" t="s">
        <v>87</v>
      </c>
      <c r="C48" s="1243" t="s">
        <v>80</v>
      </c>
      <c r="D48" s="2">
        <v>0</v>
      </c>
      <c r="E48" s="1240"/>
      <c r="F48" s="2"/>
      <c r="G48" s="1527" t="str">
        <f t="shared" si="17"/>
        <v>0.00%</v>
      </c>
      <c r="H48" s="2">
        <f>ROUND((D48)*(LEFT(I48,5)+1),0)</f>
        <v>0</v>
      </c>
      <c r="I48" s="1240" t="str">
        <f>TEXT('MYP Assumptions'!$M$62,"0.00%")&amp;", projected increase"</f>
        <v>7.00%, projected increase</v>
      </c>
      <c r="J48" s="66"/>
      <c r="K48" s="1527" t="str">
        <f t="shared" si="18"/>
        <v>0.00%</v>
      </c>
      <c r="L48" s="2">
        <f>ROUND((H48)*(LEFT(M48,5)+1),0)</f>
        <v>0</v>
      </c>
      <c r="M48" s="1240" t="str">
        <f>TEXT('MYP Assumptions'!$M$62,"0.00%")&amp;", projected increase"</f>
        <v>7.00%, projected increase</v>
      </c>
      <c r="O48" s="1527" t="str">
        <f t="shared" si="19"/>
        <v>0.00%</v>
      </c>
      <c r="P48" s="2">
        <f>ROUND((L48)*(LEFT(Q48,5)+1),0)</f>
        <v>0</v>
      </c>
      <c r="Q48" s="1240"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hidden="1" x14ac:dyDescent="0.25">
      <c r="A49" s="153"/>
      <c r="B49" s="1326" t="s">
        <v>88</v>
      </c>
      <c r="C49" s="1243" t="s">
        <v>81</v>
      </c>
      <c r="D49" s="2">
        <v>0</v>
      </c>
      <c r="E49" s="1240" t="str">
        <f>TEXT('MYP Assumptions'!$D$56,"0.00%")&amp;", SUI rate"</f>
        <v>0.05%, SUI rate</v>
      </c>
      <c r="F49" s="2"/>
      <c r="G49" s="1527" t="str">
        <f t="shared" si="17"/>
        <v>0.00%</v>
      </c>
      <c r="H49" s="2">
        <f>ROUND((H41+H30)*LEFT(I49,5),0)</f>
        <v>0</v>
      </c>
      <c r="I49" s="1240" t="str">
        <f>TEXT('MYP Assumptions'!E56,"0.00%")&amp;", no rate change"</f>
        <v>0.05%, no rate change</v>
      </c>
      <c r="J49" s="66"/>
      <c r="K49" s="1527" t="str">
        <f t="shared" si="18"/>
        <v>0.00%</v>
      </c>
      <c r="L49" s="2">
        <f>ROUND((L41+L30)*LEFT(M49,5),0)</f>
        <v>0</v>
      </c>
      <c r="M49" s="1240" t="str">
        <f>TEXT('MYP Assumptions'!F56,"0.00%")&amp;", no rate change"</f>
        <v>0.05%, no rate change</v>
      </c>
      <c r="O49" s="1527" t="str">
        <f t="shared" si="19"/>
        <v>0.00%</v>
      </c>
      <c r="P49" s="2">
        <f>ROUND((P41+P30)*LEFT(Q49,5),0)</f>
        <v>0</v>
      </c>
      <c r="Q49" s="1240"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hidden="1" x14ac:dyDescent="0.25">
      <c r="A50" s="153"/>
      <c r="B50" s="1326" t="s">
        <v>89</v>
      </c>
      <c r="C50" s="1243" t="s">
        <v>82</v>
      </c>
      <c r="D50" s="2">
        <v>0</v>
      </c>
      <c r="E50" s="1240" t="str">
        <f>TEXT('MYP Assumptions'!$D$57,"0.00%")&amp;", W/C rate"</f>
        <v>1.10%, W/C rate</v>
      </c>
      <c r="F50" s="2"/>
      <c r="G50" s="1527" t="str">
        <f t="shared" si="17"/>
        <v>0.00%</v>
      </c>
      <c r="H50" s="2">
        <f>ROUND((H41+H30)*LEFT(I50,5),0)</f>
        <v>0</v>
      </c>
      <c r="I50" s="1240" t="str">
        <f>TEXT('MYP Assumptions'!E57,"0.00%")&amp;", no rate change"</f>
        <v>1.10%, no rate change</v>
      </c>
      <c r="J50" s="66"/>
      <c r="K50" s="1527" t="str">
        <f t="shared" si="18"/>
        <v>0.00%</v>
      </c>
      <c r="L50" s="2">
        <f>ROUND((L41+L30)*LEFT(M50,5),0)</f>
        <v>0</v>
      </c>
      <c r="M50" s="1240" t="str">
        <f>TEXT('MYP Assumptions'!F57,"0.00%")&amp;", no rate change"</f>
        <v>1.10%, no rate change</v>
      </c>
      <c r="O50" s="1527" t="str">
        <f t="shared" si="19"/>
        <v>0.00%</v>
      </c>
      <c r="P50" s="2">
        <f>ROUND((P41+P30)*LEFT(Q50,5),0)</f>
        <v>0</v>
      </c>
      <c r="Q50" s="1240"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hidden="1" x14ac:dyDescent="0.25">
      <c r="A51" s="153"/>
      <c r="B51" s="1326" t="s">
        <v>90</v>
      </c>
      <c r="C51" s="1243" t="s">
        <v>92</v>
      </c>
      <c r="D51" s="2">
        <v>0</v>
      </c>
      <c r="E51" s="1249"/>
      <c r="F51" s="2"/>
      <c r="G51" s="1527" t="str">
        <f t="shared" si="17"/>
        <v>0.00%</v>
      </c>
      <c r="H51" s="2">
        <f>D51</f>
        <v>0</v>
      </c>
      <c r="I51" s="1240" t="s">
        <v>166</v>
      </c>
      <c r="J51" s="66"/>
      <c r="K51" s="1527" t="str">
        <f t="shared" si="18"/>
        <v>0.00%</v>
      </c>
      <c r="L51" s="2">
        <f>H51</f>
        <v>0</v>
      </c>
      <c r="M51" s="1240" t="s">
        <v>166</v>
      </c>
      <c r="O51" s="1527" t="str">
        <f t="shared" si="19"/>
        <v>0.00%</v>
      </c>
      <c r="P51" s="2">
        <f>L51</f>
        <v>0</v>
      </c>
      <c r="Q51" s="1240"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3"/>
      <c r="B52" s="1326" t="s">
        <v>91</v>
      </c>
      <c r="C52" s="1243" t="s">
        <v>93</v>
      </c>
      <c r="D52" s="2">
        <v>0</v>
      </c>
      <c r="E52" s="1249"/>
      <c r="F52" s="2"/>
      <c r="G52" s="1527" t="str">
        <f t="shared" si="17"/>
        <v>0.00%</v>
      </c>
      <c r="H52" s="2">
        <f>D52</f>
        <v>0</v>
      </c>
      <c r="I52" s="1240" t="s">
        <v>166</v>
      </c>
      <c r="J52" s="66"/>
      <c r="K52" s="1527" t="str">
        <f t="shared" si="18"/>
        <v>0.00%</v>
      </c>
      <c r="L52" s="2">
        <f>H52</f>
        <v>0</v>
      </c>
      <c r="M52" s="1240" t="s">
        <v>166</v>
      </c>
      <c r="O52" s="1527" t="str">
        <f t="shared" si="19"/>
        <v>0.00%</v>
      </c>
      <c r="P52" s="2">
        <f>L52</f>
        <v>0</v>
      </c>
      <c r="Q52" s="1240"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4"/>
      <c r="B53" s="1326"/>
      <c r="D53" s="8">
        <f>SUM(D44:D52)</f>
        <v>0</v>
      </c>
      <c r="E53" s="1249"/>
      <c r="F53" s="2"/>
      <c r="G53" s="1527" t="str">
        <f t="shared" si="17"/>
        <v>0.00%</v>
      </c>
      <c r="H53" s="8">
        <f>SUM(H44:H52)</f>
        <v>0</v>
      </c>
      <c r="I53" s="1258"/>
      <c r="J53" s="29"/>
      <c r="K53" s="1527" t="str">
        <f t="shared" si="18"/>
        <v>0.00%</v>
      </c>
      <c r="L53" s="8">
        <f>SUM(L44:L52)</f>
        <v>0</v>
      </c>
      <c r="M53" s="1335"/>
      <c r="O53" s="1527" t="str">
        <f t="shared" si="19"/>
        <v>0.00%</v>
      </c>
      <c r="P53" s="8">
        <f>SUM(P44:P52)</f>
        <v>0</v>
      </c>
      <c r="Q53" s="1335"/>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5"/>
      <c r="B54" s="1326"/>
      <c r="E54" s="1249"/>
      <c r="F54" s="2"/>
      <c r="H54" s="2"/>
      <c r="I54" s="1257"/>
      <c r="J54" s="66"/>
      <c r="L54" s="2"/>
      <c r="M54" s="1335"/>
      <c r="Q54" s="1335"/>
      <c r="T54" s="2"/>
      <c r="U54" s="73"/>
      <c r="X54" s="2"/>
      <c r="Y54" s="73"/>
      <c r="AB54" s="2"/>
      <c r="AC54" s="73"/>
    </row>
    <row r="55" spans="1:29" hidden="1" x14ac:dyDescent="0.25">
      <c r="A55" s="154"/>
      <c r="B55" s="1323" t="s">
        <v>26</v>
      </c>
      <c r="D55" s="8">
        <f>SUM(D53,D41,D30)</f>
        <v>0</v>
      </c>
      <c r="E55" s="1249"/>
      <c r="F55" s="2"/>
      <c r="G55" s="1527" t="str">
        <f>IF(D55=0,"0.00%",(H55-D55)/D55)</f>
        <v>0.00%</v>
      </c>
      <c r="H55" s="8">
        <f>SUM(H53,H41,H30)</f>
        <v>0</v>
      </c>
      <c r="I55" s="1258"/>
      <c r="J55" s="29"/>
      <c r="K55" s="1527" t="str">
        <f>IF(H55=0,"0.00%",(L55-H55)/H55)</f>
        <v>0.00%</v>
      </c>
      <c r="L55" s="8">
        <f>SUM(L53,L41,L30)</f>
        <v>0</v>
      </c>
      <c r="M55" s="1335"/>
      <c r="O55" s="1527" t="str">
        <f>IF(L55=0,"0.00%",(P55-L55)/L55)</f>
        <v>0.00%</v>
      </c>
      <c r="P55" s="8">
        <f>SUM(P53,P41,P30)</f>
        <v>0</v>
      </c>
      <c r="Q55" s="1335"/>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6"/>
      <c r="E56" s="1249"/>
      <c r="F56" s="2"/>
      <c r="H56" s="2"/>
      <c r="I56" s="1257"/>
      <c r="J56" s="66"/>
      <c r="L56" s="2"/>
      <c r="M56" s="1335"/>
      <c r="Q56" s="1335"/>
      <c r="T56" s="2"/>
      <c r="U56" s="73"/>
      <c r="X56" s="2"/>
      <c r="Y56" s="73"/>
      <c r="AB56" s="2"/>
      <c r="AC56" s="73"/>
    </row>
    <row r="57" spans="1:29" hidden="1" x14ac:dyDescent="0.25">
      <c r="A57" s="153"/>
      <c r="E57" s="1249"/>
      <c r="F57" s="2"/>
      <c r="H57" s="2"/>
      <c r="I57" s="1257"/>
      <c r="J57" s="66"/>
      <c r="L57" s="2"/>
      <c r="M57" s="1335"/>
      <c r="Q57" s="1335"/>
      <c r="T57" s="2"/>
      <c r="U57" s="73"/>
      <c r="X57" s="2"/>
      <c r="Y57" s="73"/>
      <c r="AB57" s="2"/>
      <c r="AC57" s="73"/>
    </row>
    <row r="58" spans="1:29" x14ac:dyDescent="0.25">
      <c r="A58" s="156"/>
      <c r="B58" s="1327" t="s">
        <v>25</v>
      </c>
      <c r="C58" s="1259"/>
      <c r="E58" s="1249"/>
      <c r="F58" s="2"/>
      <c r="H58" s="2"/>
      <c r="I58" s="1257"/>
      <c r="J58" s="66"/>
      <c r="L58" s="2"/>
      <c r="M58" s="1335"/>
      <c r="Q58" s="1335"/>
      <c r="T58" s="2"/>
      <c r="U58" s="73"/>
      <c r="X58" s="2"/>
      <c r="Y58" s="73"/>
      <c r="AB58" s="2"/>
      <c r="AC58" s="73"/>
    </row>
    <row r="59" spans="1:29" x14ac:dyDescent="0.25">
      <c r="A59" s="153"/>
      <c r="B59" s="1326">
        <v>4310</v>
      </c>
      <c r="C59" s="1243" t="s">
        <v>329</v>
      </c>
      <c r="D59" s="2">
        <v>0</v>
      </c>
      <c r="E59" s="1249"/>
      <c r="F59" s="2"/>
      <c r="G59" s="1527" t="str">
        <f t="shared" ref="G59:G66" si="23">IF(D59=0,"0.00%",(H59-D59)/D59)</f>
        <v>0.00%</v>
      </c>
      <c r="H59" s="3">
        <v>8623</v>
      </c>
      <c r="I59" s="1315" t="s">
        <v>174</v>
      </c>
      <c r="J59" s="61"/>
      <c r="K59" s="1527">
        <f>IF(H59=0,"0.00%",(L59-H59)/H59)</f>
        <v>-1</v>
      </c>
      <c r="L59" s="3">
        <v>0</v>
      </c>
      <c r="M59" s="1315" t="s">
        <v>174</v>
      </c>
      <c r="O59" s="1527" t="str">
        <f>IF(L59=0,"0.00%",(P59-L59)/L59)</f>
        <v>0.00%</v>
      </c>
      <c r="P59" s="3">
        <f>+L59</f>
        <v>0</v>
      </c>
      <c r="Q59" s="1315" t="s">
        <v>174</v>
      </c>
      <c r="S59" s="83" t="str">
        <f>IF(P59=0,"0.00%",(T59-P59)/P59)</f>
        <v>0.00%</v>
      </c>
      <c r="T59" s="3">
        <f>+P59</f>
        <v>0</v>
      </c>
      <c r="U59" s="105" t="s">
        <v>174</v>
      </c>
      <c r="W59" s="83" t="str">
        <f t="shared" ref="W59:W66" si="24">IF(T59=0,"0.00%",(X59-T59)/T59)</f>
        <v>0.00%</v>
      </c>
      <c r="X59" s="2">
        <f>ROUND(T59*(LEFT(Y59,5)+1),0)</f>
        <v>0</v>
      </c>
      <c r="Y59" s="81" t="str">
        <f>TEXT('MYP Assumptions'!I72,"0.00%")&amp;", CPI"</f>
        <v>2.73%, CPI</v>
      </c>
      <c r="AA59" s="83" t="str">
        <f t="shared" ref="AA59:AA66" si="25">IF(X59=0,"0.00%",(AB59-X59)/X59)</f>
        <v>0.00%</v>
      </c>
      <c r="AB59" s="2">
        <f>ROUND(X59*(LEFT(AC59,5)+1),0)</f>
        <v>0</v>
      </c>
      <c r="AC59" s="81" t="str">
        <f>TEXT('MYP Assumptions'!J72,"0.00%")&amp;", CPI"</f>
        <v>2.73%, CPI</v>
      </c>
    </row>
    <row r="60" spans="1:29" hidden="1" x14ac:dyDescent="0.25">
      <c r="A60" s="153"/>
      <c r="B60" s="1326"/>
      <c r="D60" s="2">
        <v>0</v>
      </c>
      <c r="E60" s="1249"/>
      <c r="F60" s="2"/>
      <c r="G60" s="1527" t="str">
        <f t="shared" si="23"/>
        <v>0.00%</v>
      </c>
      <c r="H60" s="2">
        <f t="shared" ref="H60:H65" si="26">ROUND(D60*(LEFT(I60,5)+1),0)</f>
        <v>0</v>
      </c>
      <c r="I60" s="1240" t="str">
        <f>TEXT('MYP Assumptions'!E72,"0.00%")&amp;", CPI"</f>
        <v>3.11%, CPI</v>
      </c>
      <c r="J60" s="66"/>
      <c r="K60" s="1527" t="str">
        <f t="shared" ref="K60:K66" si="27">IF(H60=0,"0.00%",(L60-H60)/H60)</f>
        <v>0.00%</v>
      </c>
      <c r="L60" s="2">
        <f t="shared" ref="L60:L65" si="28">ROUND(H60*(LEFT(M60,5)+1),0)</f>
        <v>0</v>
      </c>
      <c r="M60" s="1240" t="str">
        <f>TEXT('MYP Assumptions'!F72,"0.00%")&amp;", CPI"</f>
        <v>3.19%, CPI</v>
      </c>
      <c r="O60" s="1527" t="str">
        <f t="shared" ref="O60:O66" si="29">IF(L60=0,"0.00%",(P60-L60)/L60)</f>
        <v>0.00%</v>
      </c>
      <c r="P60" s="2">
        <f t="shared" ref="P60:P65" si="30">ROUND(L60*(LEFT(Q60,5)+1),0)</f>
        <v>0</v>
      </c>
      <c r="Q60" s="1240" t="str">
        <f>TEXT('MYP Assumptions'!G72,"0.00%")&amp;", CPI"</f>
        <v>2.86%, CPI</v>
      </c>
      <c r="S60" s="83" t="str">
        <f t="shared" ref="S60:S66" si="31">IF(P60=0,"0.00%",(T60-P60)/P60)</f>
        <v>0.00%</v>
      </c>
      <c r="T60" s="2">
        <f t="shared" ref="T60:T65" si="32">ROUND(P60*(LEFT(U60,5)+1),0)</f>
        <v>0</v>
      </c>
      <c r="U60" s="81" t="str">
        <f>TEXT('MYP Assumptions'!H72,"0.00%")&amp;", CPI"</f>
        <v>2.73%, CPI</v>
      </c>
      <c r="W60" s="83" t="str">
        <f t="shared" si="24"/>
        <v>0.00%</v>
      </c>
      <c r="X60" s="2">
        <f t="shared" ref="X60:X65" si="33">ROUND(T60*(LEFT(Y60,5)+1),0)</f>
        <v>0</v>
      </c>
      <c r="Y60" s="81" t="str">
        <f>TEXT('MYP Assumptions'!I72,"0.00%")&amp;", CPI"</f>
        <v>2.73%, CPI</v>
      </c>
      <c r="AA60" s="83" t="str">
        <f t="shared" si="25"/>
        <v>0.00%</v>
      </c>
      <c r="AB60" s="2">
        <f t="shared" ref="AB60:AB65" si="34">ROUND(X60*(LEFT(AC60,5)+1),0)</f>
        <v>0</v>
      </c>
      <c r="AC60" s="81" t="str">
        <f>TEXT('MYP Assumptions'!J72,"0.00%")&amp;", CPI"</f>
        <v>2.73%, CPI</v>
      </c>
    </row>
    <row r="61" spans="1:29" hidden="1" x14ac:dyDescent="0.25">
      <c r="A61" s="153"/>
      <c r="B61" s="1326"/>
      <c r="D61" s="2">
        <v>0</v>
      </c>
      <c r="E61" s="1249"/>
      <c r="F61" s="2"/>
      <c r="G61" s="1527" t="str">
        <f t="shared" si="23"/>
        <v>0.00%</v>
      </c>
      <c r="H61" s="2">
        <f t="shared" si="26"/>
        <v>0</v>
      </c>
      <c r="I61" s="1240" t="str">
        <f>TEXT('MYP Assumptions'!E72,"0.00%")&amp;", CPI"</f>
        <v>3.11%, CPI</v>
      </c>
      <c r="J61" s="66"/>
      <c r="K61" s="1527" t="str">
        <f t="shared" si="27"/>
        <v>0.00%</v>
      </c>
      <c r="L61" s="2">
        <f t="shared" si="28"/>
        <v>0</v>
      </c>
      <c r="M61" s="1240" t="str">
        <f>TEXT('MYP Assumptions'!F72,"0.00%")&amp;", CPI"</f>
        <v>3.19%, CPI</v>
      </c>
      <c r="O61" s="1527" t="str">
        <f t="shared" si="29"/>
        <v>0.00%</v>
      </c>
      <c r="P61" s="2">
        <f t="shared" si="30"/>
        <v>0</v>
      </c>
      <c r="Q61" s="1240" t="str">
        <f>TEXT('MYP Assumptions'!G72,"0.00%")&amp;", CPI"</f>
        <v>2.86%, CPI</v>
      </c>
      <c r="S61" s="83" t="str">
        <f t="shared" si="31"/>
        <v>0.00%</v>
      </c>
      <c r="T61" s="2">
        <f t="shared" si="32"/>
        <v>0</v>
      </c>
      <c r="U61" s="81" t="str">
        <f>TEXT('MYP Assumptions'!H72,"0.00%")&amp;", CPI"</f>
        <v>2.73%, CPI</v>
      </c>
      <c r="W61" s="83" t="str">
        <f t="shared" si="24"/>
        <v>0.00%</v>
      </c>
      <c r="X61" s="2">
        <f t="shared" si="33"/>
        <v>0</v>
      </c>
      <c r="Y61" s="81" t="str">
        <f>TEXT('MYP Assumptions'!I72,"0.00%")&amp;", CPI"</f>
        <v>2.73%, CPI</v>
      </c>
      <c r="AA61" s="83" t="str">
        <f t="shared" si="25"/>
        <v>0.00%</v>
      </c>
      <c r="AB61" s="2">
        <f t="shared" si="34"/>
        <v>0</v>
      </c>
      <c r="AC61" s="81" t="str">
        <f>TEXT('MYP Assumptions'!J72,"0.00%")&amp;", CPI"</f>
        <v>2.73%, CPI</v>
      </c>
    </row>
    <row r="62" spans="1:29" hidden="1" x14ac:dyDescent="0.25">
      <c r="A62" s="153"/>
      <c r="B62" s="1326"/>
      <c r="D62" s="2">
        <v>0</v>
      </c>
      <c r="E62" s="1249"/>
      <c r="F62" s="2"/>
      <c r="G62" s="1527" t="str">
        <f t="shared" si="23"/>
        <v>0.00%</v>
      </c>
      <c r="H62" s="2">
        <f t="shared" si="26"/>
        <v>0</v>
      </c>
      <c r="I62" s="1240" t="str">
        <f>TEXT('MYP Assumptions'!E72,"0.00%")&amp;", CPI"</f>
        <v>3.11%, CPI</v>
      </c>
      <c r="J62" s="66"/>
      <c r="K62" s="1527" t="str">
        <f t="shared" si="27"/>
        <v>0.00%</v>
      </c>
      <c r="L62" s="2">
        <f t="shared" si="28"/>
        <v>0</v>
      </c>
      <c r="M62" s="1240" t="str">
        <f>TEXT('MYP Assumptions'!F72,"0.00%")&amp;", CPI"</f>
        <v>3.19%, CPI</v>
      </c>
      <c r="O62" s="1527" t="str">
        <f t="shared" si="29"/>
        <v>0.00%</v>
      </c>
      <c r="P62" s="2">
        <f t="shared" si="30"/>
        <v>0</v>
      </c>
      <c r="Q62" s="1240" t="str">
        <f>TEXT('MYP Assumptions'!G72,"0.00%")&amp;", CPI"</f>
        <v>2.86%, CPI</v>
      </c>
      <c r="S62" s="83" t="str">
        <f t="shared" si="31"/>
        <v>0.00%</v>
      </c>
      <c r="T62" s="2">
        <f t="shared" si="32"/>
        <v>0</v>
      </c>
      <c r="U62" s="81" t="str">
        <f>TEXT('MYP Assumptions'!H72,"0.00%")&amp;", CPI"</f>
        <v>2.73%, CPI</v>
      </c>
      <c r="W62" s="83" t="str">
        <f t="shared" si="24"/>
        <v>0.00%</v>
      </c>
      <c r="X62" s="2">
        <f t="shared" si="33"/>
        <v>0</v>
      </c>
      <c r="Y62" s="81" t="str">
        <f>TEXT('MYP Assumptions'!I72,"0.00%")&amp;", CPI"</f>
        <v>2.73%, CPI</v>
      </c>
      <c r="AA62" s="83" t="str">
        <f t="shared" si="25"/>
        <v>0.00%</v>
      </c>
      <c r="AB62" s="2">
        <f t="shared" si="34"/>
        <v>0</v>
      </c>
      <c r="AC62" s="81" t="str">
        <f>TEXT('MYP Assumptions'!J72,"0.00%")&amp;", CPI"</f>
        <v>2.73%, CPI</v>
      </c>
    </row>
    <row r="63" spans="1:29" hidden="1" x14ac:dyDescent="0.25">
      <c r="A63" s="153"/>
      <c r="B63" s="1326"/>
      <c r="D63" s="2">
        <v>0</v>
      </c>
      <c r="E63" s="1249"/>
      <c r="F63" s="2"/>
      <c r="G63" s="1527" t="str">
        <f t="shared" si="23"/>
        <v>0.00%</v>
      </c>
      <c r="H63" s="2">
        <f t="shared" si="26"/>
        <v>0</v>
      </c>
      <c r="I63" s="1240" t="str">
        <f>TEXT('MYP Assumptions'!E72,"0.00%")&amp;", CPI"</f>
        <v>3.11%, CPI</v>
      </c>
      <c r="J63" s="66"/>
      <c r="K63" s="1527" t="str">
        <f t="shared" si="27"/>
        <v>0.00%</v>
      </c>
      <c r="L63" s="2">
        <f t="shared" si="28"/>
        <v>0</v>
      </c>
      <c r="M63" s="1240" t="str">
        <f>TEXT('MYP Assumptions'!F72,"0.00%")&amp;", CPI"</f>
        <v>3.19%, CPI</v>
      </c>
      <c r="O63" s="1527" t="str">
        <f t="shared" si="29"/>
        <v>0.00%</v>
      </c>
      <c r="P63" s="2">
        <f t="shared" si="30"/>
        <v>0</v>
      </c>
      <c r="Q63" s="1240" t="str">
        <f>TEXT('MYP Assumptions'!G72,"0.00%")&amp;", CPI"</f>
        <v>2.86%, CPI</v>
      </c>
      <c r="S63" s="83" t="str">
        <f t="shared" si="31"/>
        <v>0.00%</v>
      </c>
      <c r="T63" s="2">
        <f t="shared" si="32"/>
        <v>0</v>
      </c>
      <c r="U63" s="81" t="str">
        <f>TEXT('MYP Assumptions'!H72,"0.00%")&amp;", CPI"</f>
        <v>2.73%, CPI</v>
      </c>
      <c r="W63" s="83" t="str">
        <f t="shared" si="24"/>
        <v>0.00%</v>
      </c>
      <c r="X63" s="2">
        <f t="shared" si="33"/>
        <v>0</v>
      </c>
      <c r="Y63" s="81" t="str">
        <f>TEXT('MYP Assumptions'!I72,"0.00%")&amp;", CPI"</f>
        <v>2.73%, CPI</v>
      </c>
      <c r="AA63" s="83" t="str">
        <f t="shared" si="25"/>
        <v>0.00%</v>
      </c>
      <c r="AB63" s="2">
        <f t="shared" si="34"/>
        <v>0</v>
      </c>
      <c r="AC63" s="81" t="str">
        <f>TEXT('MYP Assumptions'!J72,"0.00%")&amp;", CPI"</f>
        <v>2.73%, CPI</v>
      </c>
    </row>
    <row r="64" spans="1:29" hidden="1" x14ac:dyDescent="0.25">
      <c r="A64" s="153"/>
      <c r="B64" s="1326"/>
      <c r="D64" s="2">
        <v>0</v>
      </c>
      <c r="E64" s="1249"/>
      <c r="F64" s="2"/>
      <c r="G64" s="1527" t="str">
        <f t="shared" si="23"/>
        <v>0.00%</v>
      </c>
      <c r="H64" s="2">
        <f t="shared" si="26"/>
        <v>0</v>
      </c>
      <c r="I64" s="1240" t="str">
        <f>TEXT('MYP Assumptions'!E72,"0.00%")&amp;", CPI"</f>
        <v>3.11%, CPI</v>
      </c>
      <c r="J64" s="66"/>
      <c r="K64" s="1527" t="str">
        <f t="shared" si="27"/>
        <v>0.00%</v>
      </c>
      <c r="L64" s="2">
        <f t="shared" si="28"/>
        <v>0</v>
      </c>
      <c r="M64" s="1240" t="str">
        <f>TEXT('MYP Assumptions'!F72,"0.00%")&amp;", CPI"</f>
        <v>3.19%, CPI</v>
      </c>
      <c r="O64" s="1527" t="str">
        <f t="shared" si="29"/>
        <v>0.00%</v>
      </c>
      <c r="P64" s="2">
        <f t="shared" si="30"/>
        <v>0</v>
      </c>
      <c r="Q64" s="1240" t="str">
        <f>TEXT('MYP Assumptions'!G72,"0.00%")&amp;", CPI"</f>
        <v>2.86%, CPI</v>
      </c>
      <c r="S64" s="83" t="str">
        <f t="shared" si="31"/>
        <v>0.00%</v>
      </c>
      <c r="T64" s="2">
        <f t="shared" si="32"/>
        <v>0</v>
      </c>
      <c r="U64" s="81" t="str">
        <f>TEXT('MYP Assumptions'!H72,"0.00%")&amp;", CPI"</f>
        <v>2.73%, CPI</v>
      </c>
      <c r="W64" s="83" t="str">
        <f t="shared" si="24"/>
        <v>0.00%</v>
      </c>
      <c r="X64" s="2">
        <f t="shared" si="33"/>
        <v>0</v>
      </c>
      <c r="Y64" s="81" t="str">
        <f>TEXT('MYP Assumptions'!I72,"0.00%")&amp;", CPI"</f>
        <v>2.73%, CPI</v>
      </c>
      <c r="AA64" s="83" t="str">
        <f t="shared" si="25"/>
        <v>0.00%</v>
      </c>
      <c r="AB64" s="2">
        <f t="shared" si="34"/>
        <v>0</v>
      </c>
      <c r="AC64" s="81" t="str">
        <f>TEXT('MYP Assumptions'!J72,"0.00%")&amp;", CPI"</f>
        <v>2.73%, CPI</v>
      </c>
    </row>
    <row r="65" spans="1:29" hidden="1" x14ac:dyDescent="0.25">
      <c r="A65" s="153"/>
      <c r="B65" s="1326"/>
      <c r="C65" s="1328"/>
      <c r="D65" s="2">
        <v>0</v>
      </c>
      <c r="E65" s="1249"/>
      <c r="F65" s="2"/>
      <c r="G65" s="1527" t="str">
        <f t="shared" si="23"/>
        <v>0.00%</v>
      </c>
      <c r="H65" s="2">
        <f t="shared" si="26"/>
        <v>0</v>
      </c>
      <c r="I65" s="1240" t="str">
        <f>TEXT('MYP Assumptions'!E72,"0.00%")&amp;", CPI"</f>
        <v>3.11%, CPI</v>
      </c>
      <c r="J65" s="66"/>
      <c r="K65" s="1527" t="str">
        <f t="shared" si="27"/>
        <v>0.00%</v>
      </c>
      <c r="L65" s="2">
        <f t="shared" si="28"/>
        <v>0</v>
      </c>
      <c r="M65" s="1240" t="str">
        <f>TEXT('MYP Assumptions'!F72,"0.00%")&amp;", CPI"</f>
        <v>3.19%, CPI</v>
      </c>
      <c r="O65" s="1527" t="str">
        <f t="shared" si="29"/>
        <v>0.00%</v>
      </c>
      <c r="P65" s="2">
        <f t="shared" si="30"/>
        <v>0</v>
      </c>
      <c r="Q65" s="1240" t="str">
        <f>TEXT('MYP Assumptions'!G72,"0.00%")&amp;", CPI"</f>
        <v>2.86%, CPI</v>
      </c>
      <c r="S65" s="83" t="str">
        <f t="shared" si="31"/>
        <v>0.00%</v>
      </c>
      <c r="T65" s="2">
        <f t="shared" si="32"/>
        <v>0</v>
      </c>
      <c r="U65" s="81" t="str">
        <f>TEXT('MYP Assumptions'!H72,"0.00%")&amp;", CPI"</f>
        <v>2.73%, CPI</v>
      </c>
      <c r="W65" s="83" t="str">
        <f t="shared" si="24"/>
        <v>0.00%</v>
      </c>
      <c r="X65" s="2">
        <f t="shared" si="33"/>
        <v>0</v>
      </c>
      <c r="Y65" s="81" t="str">
        <f>TEXT('MYP Assumptions'!I72,"0.00%")&amp;", CPI"</f>
        <v>2.73%, CPI</v>
      </c>
      <c r="AA65" s="83" t="str">
        <f t="shared" si="25"/>
        <v>0.00%</v>
      </c>
      <c r="AB65" s="2">
        <f t="shared" si="34"/>
        <v>0</v>
      </c>
      <c r="AC65" s="81" t="str">
        <f>TEXT('MYP Assumptions'!J72,"0.00%")&amp;", CPI"</f>
        <v>2.73%, CPI</v>
      </c>
    </row>
    <row r="66" spans="1:29" x14ac:dyDescent="0.25">
      <c r="A66" s="154"/>
      <c r="B66" s="1243"/>
      <c r="D66" s="8">
        <f>SUM(D59:D65)</f>
        <v>0</v>
      </c>
      <c r="E66" s="1249"/>
      <c r="F66" s="2"/>
      <c r="G66" s="1527" t="str">
        <f t="shared" si="23"/>
        <v>0.00%</v>
      </c>
      <c r="H66" s="8">
        <f>SUM(H59:H65)</f>
        <v>8623</v>
      </c>
      <c r="I66" s="1258"/>
      <c r="J66" s="29"/>
      <c r="K66" s="1527">
        <f t="shared" si="27"/>
        <v>-1</v>
      </c>
      <c r="L66" s="8">
        <f>SUM(L59:L65)</f>
        <v>0</v>
      </c>
      <c r="M66" s="1335"/>
      <c r="O66" s="1527" t="str">
        <f t="shared" si="29"/>
        <v>0.00%</v>
      </c>
      <c r="P66" s="8">
        <f>SUM(P59:P65)</f>
        <v>0</v>
      </c>
      <c r="Q66" s="1335"/>
      <c r="S66" s="83" t="str">
        <f t="shared" si="31"/>
        <v>0.00%</v>
      </c>
      <c r="T66" s="8">
        <f>SUM(T59:T65)</f>
        <v>0</v>
      </c>
      <c r="U66" s="73"/>
      <c r="W66" s="83" t="str">
        <f t="shared" si="24"/>
        <v>0.00%</v>
      </c>
      <c r="X66" s="8">
        <f>SUM(X59:X65)</f>
        <v>0</v>
      </c>
      <c r="Y66" s="73"/>
      <c r="AA66" s="83" t="str">
        <f t="shared" si="25"/>
        <v>0.00%</v>
      </c>
      <c r="AB66" s="8">
        <f>SUM(AB59:AB65)</f>
        <v>0</v>
      </c>
      <c r="AC66" s="73"/>
    </row>
    <row r="67" spans="1:29" hidden="1" x14ac:dyDescent="0.25">
      <c r="A67" s="153"/>
      <c r="E67" s="1249"/>
      <c r="F67" s="2"/>
      <c r="H67" s="2"/>
      <c r="I67" s="1257"/>
      <c r="J67" s="66"/>
      <c r="L67" s="2"/>
      <c r="M67" s="1335"/>
      <c r="Q67" s="1335"/>
      <c r="T67" s="2"/>
      <c r="U67" s="73"/>
      <c r="X67" s="2"/>
      <c r="Y67" s="73"/>
      <c r="AB67" s="2"/>
      <c r="AC67" s="73"/>
    </row>
    <row r="68" spans="1:29" s="4" customFormat="1" hidden="1" x14ac:dyDescent="0.25">
      <c r="A68" s="151"/>
      <c r="B68" s="1323" t="s">
        <v>16</v>
      </c>
      <c r="C68" s="1259"/>
      <c r="D68" s="6"/>
      <c r="E68" s="1250"/>
      <c r="F68" s="6"/>
      <c r="G68" s="1539"/>
      <c r="H68" s="6"/>
      <c r="I68" s="1259"/>
      <c r="J68" s="58"/>
      <c r="K68" s="1571"/>
      <c r="L68" s="6"/>
      <c r="M68" s="1337"/>
      <c r="O68" s="1571"/>
      <c r="P68" s="6"/>
      <c r="Q68" s="1337"/>
      <c r="R68" s="111"/>
      <c r="U68" s="71"/>
      <c r="Y68" s="71"/>
      <c r="AC68" s="71"/>
    </row>
    <row r="69" spans="1:29" hidden="1" x14ac:dyDescent="0.25">
      <c r="A69" s="153"/>
      <c r="B69" s="1326">
        <v>5813</v>
      </c>
      <c r="C69" s="1243" t="s">
        <v>6</v>
      </c>
      <c r="D69" s="2">
        <v>0</v>
      </c>
      <c r="E69" s="1249"/>
      <c r="F69" s="2"/>
      <c r="G69" s="1527" t="str">
        <f t="shared" ref="G69:G74" si="35">IF(D69=0,"0.00%",(H69-D69)/D69)</f>
        <v>0.00%</v>
      </c>
      <c r="H69" s="3">
        <f>+D69</f>
        <v>0</v>
      </c>
      <c r="I69" s="1315" t="s">
        <v>174</v>
      </c>
      <c r="J69" s="61"/>
      <c r="K69" s="1527" t="str">
        <f>IF(H69=0,"0.00%",(L69-H69)/H69)</f>
        <v>0.00%</v>
      </c>
      <c r="L69" s="3">
        <f>+H69</f>
        <v>0</v>
      </c>
      <c r="M69" s="1315" t="s">
        <v>174</v>
      </c>
      <c r="O69" s="1527" t="str">
        <f>IF(L69=0,"0.00%",(P69-L69)/L69)</f>
        <v>0.00%</v>
      </c>
      <c r="P69" s="3">
        <f>+L69</f>
        <v>0</v>
      </c>
      <c r="Q69" s="1315" t="s">
        <v>174</v>
      </c>
      <c r="S69" s="83" t="str">
        <f>IF(P69=0,"0.00%",(T69-P69)/P69)</f>
        <v>0.00%</v>
      </c>
      <c r="T69" s="3">
        <f>+P69</f>
        <v>0</v>
      </c>
      <c r="U69" s="105" t="s">
        <v>174</v>
      </c>
      <c r="W69" s="83" t="str">
        <f t="shared" ref="W69:W82" si="36">IF(T69=0,"0.00%",(X69-T69)/T69)</f>
        <v>0.00%</v>
      </c>
      <c r="X69" s="2">
        <f>ROUND(T69*(LEFT(Y69,5)+1),0)</f>
        <v>0</v>
      </c>
      <c r="Y69" s="81" t="str">
        <f>TEXT('MYP Assumptions'!I72,"0.00%")&amp;", CPI"</f>
        <v>2.73%, CPI</v>
      </c>
      <c r="AA69" s="83" t="str">
        <f t="shared" ref="AA69:AA82" si="37">IF(X69=0,"0.00%",(AB69-X69)/X69)</f>
        <v>0.00%</v>
      </c>
      <c r="AB69" s="2">
        <f>ROUND(X69*(LEFT(AC69,5)+1),0)</f>
        <v>0</v>
      </c>
      <c r="AC69" s="81" t="str">
        <f>TEXT('MYP Assumptions'!J72,"0.00%")&amp;", CPI"</f>
        <v>2.73%, CPI</v>
      </c>
    </row>
    <row r="70" spans="1:29" hidden="1" x14ac:dyDescent="0.25">
      <c r="A70" s="153"/>
      <c r="B70" s="1326"/>
      <c r="D70" s="2">
        <v>0</v>
      </c>
      <c r="E70" s="1249"/>
      <c r="F70" s="2"/>
      <c r="G70" s="1527" t="str">
        <f t="shared" si="35"/>
        <v>0.00%</v>
      </c>
      <c r="H70" s="2">
        <f>ROUND(D70*(LEFT(I70,5)+1),0)</f>
        <v>0</v>
      </c>
      <c r="I70" s="1240" t="str">
        <f>TEXT('MYP Assumptions'!E72,"0.00%")&amp;", CPI"</f>
        <v>3.11%, CPI</v>
      </c>
      <c r="J70" s="66"/>
      <c r="K70" s="1527" t="str">
        <f t="shared" ref="K70:K82" si="38">IF(H70=0,"0.00%",(L70-H70)/H70)</f>
        <v>0.00%</v>
      </c>
      <c r="L70" s="2">
        <f t="shared" ref="L70:L81" si="39">ROUND(H70*(LEFT(M70,5)+1),0)</f>
        <v>0</v>
      </c>
      <c r="M70" s="1240" t="str">
        <f>TEXT('MYP Assumptions'!F72,"0.00%")&amp;", CPI"</f>
        <v>3.19%, CPI</v>
      </c>
      <c r="O70" s="1527" t="str">
        <f t="shared" ref="O70:O82" si="40">IF(L70=0,"0.00%",(P70-L70)/L70)</f>
        <v>0.00%</v>
      </c>
      <c r="P70" s="2">
        <f t="shared" ref="P70:P81" si="41">ROUND(L70*(LEFT(Q70,5)+1),0)</f>
        <v>0</v>
      </c>
      <c r="Q70" s="1240" t="str">
        <f>TEXT('MYP Assumptions'!G72,"0.00%")&amp;", CPI"</f>
        <v>2.86%, CPI</v>
      </c>
      <c r="S70" s="83" t="str">
        <f t="shared" ref="S70:S82" si="42">IF(P70=0,"0.00%",(T70-P70)/P70)</f>
        <v>0.00%</v>
      </c>
      <c r="T70" s="2">
        <f t="shared" ref="T70:T81" si="43">ROUND(P70*(LEFT(U70,5)+1),0)</f>
        <v>0</v>
      </c>
      <c r="U70" s="81" t="str">
        <f>TEXT('MYP Assumptions'!H72,"0.00%")&amp;", CPI"</f>
        <v>2.73%, CPI</v>
      </c>
      <c r="W70" s="83" t="str">
        <f t="shared" si="36"/>
        <v>0.00%</v>
      </c>
      <c r="X70" s="2">
        <f t="shared" ref="X70:X81" si="44">ROUND(T70*(LEFT(Y70,5)+1),0)</f>
        <v>0</v>
      </c>
      <c r="Y70" s="81" t="str">
        <f>TEXT('MYP Assumptions'!I72,"0.00%")&amp;", CPI"</f>
        <v>2.73%, CPI</v>
      </c>
      <c r="AA70" s="83" t="str">
        <f t="shared" si="37"/>
        <v>0.00%</v>
      </c>
      <c r="AB70" s="2">
        <f t="shared" ref="AB70:AB81" si="45">ROUND(X70*(LEFT(AC70,5)+1),0)</f>
        <v>0</v>
      </c>
      <c r="AC70" s="81" t="str">
        <f>TEXT('MYP Assumptions'!J72,"0.00%")&amp;", CPI"</f>
        <v>2.73%, CPI</v>
      </c>
    </row>
    <row r="71" spans="1:29" hidden="1" x14ac:dyDescent="0.25">
      <c r="A71" s="153"/>
      <c r="B71" s="1326"/>
      <c r="D71" s="2">
        <v>0</v>
      </c>
      <c r="E71" s="1249"/>
      <c r="F71" s="2"/>
      <c r="G71" s="1527" t="str">
        <f t="shared" si="35"/>
        <v>0.00%</v>
      </c>
      <c r="H71" s="2">
        <f t="shared" ref="H71:H76" si="46">ROUND(D71*(LEFT(I71,5)+1),0)</f>
        <v>0</v>
      </c>
      <c r="I71" s="1240" t="str">
        <f>TEXT('MYP Assumptions'!E72,"0.00%")&amp;", CPI"</f>
        <v>3.11%, CPI</v>
      </c>
      <c r="J71" s="66"/>
      <c r="K71" s="1527" t="str">
        <f t="shared" si="38"/>
        <v>0.00%</v>
      </c>
      <c r="L71" s="2">
        <f t="shared" si="39"/>
        <v>0</v>
      </c>
      <c r="M71" s="1240" t="str">
        <f>TEXT('MYP Assumptions'!F72,"0.00%")&amp;", CPI"</f>
        <v>3.19%, CPI</v>
      </c>
      <c r="O71" s="1527" t="str">
        <f t="shared" si="40"/>
        <v>0.00%</v>
      </c>
      <c r="P71" s="2">
        <f t="shared" si="41"/>
        <v>0</v>
      </c>
      <c r="Q71" s="1240" t="str">
        <f>TEXT('MYP Assumptions'!G72,"0.00%")&amp;", CPI"</f>
        <v>2.86%, CPI</v>
      </c>
      <c r="S71" s="83" t="str">
        <f t="shared" si="42"/>
        <v>0.00%</v>
      </c>
      <c r="T71" s="2">
        <f t="shared" si="43"/>
        <v>0</v>
      </c>
      <c r="U71" s="81" t="str">
        <f>TEXT('MYP Assumptions'!H72,"0.00%")&amp;", CPI"</f>
        <v>2.73%, CPI</v>
      </c>
      <c r="W71" s="83" t="str">
        <f t="shared" si="36"/>
        <v>0.00%</v>
      </c>
      <c r="X71" s="2">
        <f t="shared" si="44"/>
        <v>0</v>
      </c>
      <c r="Y71" s="81" t="str">
        <f>TEXT('MYP Assumptions'!I72,"0.00%")&amp;", CPI"</f>
        <v>2.73%, CPI</v>
      </c>
      <c r="AA71" s="83" t="str">
        <f t="shared" si="37"/>
        <v>0.00%</v>
      </c>
      <c r="AB71" s="2">
        <f t="shared" si="45"/>
        <v>0</v>
      </c>
      <c r="AC71" s="81" t="str">
        <f>TEXT('MYP Assumptions'!J72,"0.00%")&amp;", CPI"</f>
        <v>2.73%, CPI</v>
      </c>
    </row>
    <row r="72" spans="1:29" hidden="1" x14ac:dyDescent="0.25">
      <c r="A72" s="153"/>
      <c r="B72" s="1326"/>
      <c r="D72" s="2">
        <v>0</v>
      </c>
      <c r="E72" s="1249"/>
      <c r="F72" s="2"/>
      <c r="G72" s="1527" t="str">
        <f t="shared" si="35"/>
        <v>0.00%</v>
      </c>
      <c r="H72" s="2">
        <f t="shared" si="46"/>
        <v>0</v>
      </c>
      <c r="I72" s="1240" t="str">
        <f>TEXT('MYP Assumptions'!E72,"0.00%")&amp;", CPI"</f>
        <v>3.11%, CPI</v>
      </c>
      <c r="J72" s="66"/>
      <c r="K72" s="1527" t="str">
        <f t="shared" si="38"/>
        <v>0.00%</v>
      </c>
      <c r="L72" s="2">
        <f t="shared" si="39"/>
        <v>0</v>
      </c>
      <c r="M72" s="1240" t="str">
        <f>TEXT('MYP Assumptions'!F72,"0.00%")&amp;", CPI"</f>
        <v>3.19%, CPI</v>
      </c>
      <c r="O72" s="1527" t="str">
        <f t="shared" si="40"/>
        <v>0.00%</v>
      </c>
      <c r="P72" s="2">
        <f t="shared" si="41"/>
        <v>0</v>
      </c>
      <c r="Q72" s="1240" t="str">
        <f>TEXT('MYP Assumptions'!G72,"0.00%")&amp;", CPI"</f>
        <v>2.86%, CPI</v>
      </c>
      <c r="S72" s="83" t="str">
        <f t="shared" si="42"/>
        <v>0.00%</v>
      </c>
      <c r="T72" s="2">
        <f t="shared" si="43"/>
        <v>0</v>
      </c>
      <c r="U72" s="81" t="str">
        <f>TEXT('MYP Assumptions'!H72,"0.00%")&amp;", CPI"</f>
        <v>2.73%, CPI</v>
      </c>
      <c r="W72" s="83" t="str">
        <f t="shared" si="36"/>
        <v>0.00%</v>
      </c>
      <c r="X72" s="2">
        <f t="shared" si="44"/>
        <v>0</v>
      </c>
      <c r="Y72" s="81" t="str">
        <f>TEXT('MYP Assumptions'!I72,"0.00%")&amp;", CPI"</f>
        <v>2.73%, CPI</v>
      </c>
      <c r="AA72" s="83" t="str">
        <f t="shared" si="37"/>
        <v>0.00%</v>
      </c>
      <c r="AB72" s="2">
        <f t="shared" si="45"/>
        <v>0</v>
      </c>
      <c r="AC72" s="81" t="str">
        <f>TEXT('MYP Assumptions'!J72,"0.00%")&amp;", CPI"</f>
        <v>2.73%, CPI</v>
      </c>
    </row>
    <row r="73" spans="1:29" hidden="1" x14ac:dyDescent="0.25">
      <c r="A73" s="153"/>
      <c r="B73" s="1326"/>
      <c r="D73" s="2">
        <v>0</v>
      </c>
      <c r="E73" s="1249"/>
      <c r="F73" s="2"/>
      <c r="G73" s="1527" t="str">
        <f t="shared" si="35"/>
        <v>0.00%</v>
      </c>
      <c r="H73" s="2">
        <f t="shared" si="46"/>
        <v>0</v>
      </c>
      <c r="I73" s="1240" t="str">
        <f>TEXT('MYP Assumptions'!E72,"0.00%")&amp;", CPI"</f>
        <v>3.11%, CPI</v>
      </c>
      <c r="J73" s="66"/>
      <c r="K73" s="1527" t="str">
        <f t="shared" si="38"/>
        <v>0.00%</v>
      </c>
      <c r="L73" s="2">
        <f t="shared" si="39"/>
        <v>0</v>
      </c>
      <c r="M73" s="1240" t="str">
        <f>TEXT('MYP Assumptions'!F72,"0.00%")&amp;", CPI"</f>
        <v>3.19%, CPI</v>
      </c>
      <c r="O73" s="1527" t="str">
        <f t="shared" si="40"/>
        <v>0.00%</v>
      </c>
      <c r="P73" s="2">
        <f t="shared" si="41"/>
        <v>0</v>
      </c>
      <c r="Q73" s="1240" t="str">
        <f>TEXT('MYP Assumptions'!G72,"0.00%")&amp;", CPI"</f>
        <v>2.86%, CPI</v>
      </c>
      <c r="S73" s="83" t="str">
        <f t="shared" si="42"/>
        <v>0.00%</v>
      </c>
      <c r="T73" s="2">
        <f t="shared" si="43"/>
        <v>0</v>
      </c>
      <c r="U73" s="81" t="str">
        <f>TEXT('MYP Assumptions'!H72,"0.00%")&amp;", CPI"</f>
        <v>2.73%, CPI</v>
      </c>
      <c r="W73" s="83" t="str">
        <f t="shared" si="36"/>
        <v>0.00%</v>
      </c>
      <c r="X73" s="2">
        <f t="shared" si="44"/>
        <v>0</v>
      </c>
      <c r="Y73" s="81" t="str">
        <f>TEXT('MYP Assumptions'!I72,"0.00%")&amp;", CPI"</f>
        <v>2.73%, CPI</v>
      </c>
      <c r="AA73" s="83" t="str">
        <f t="shared" si="37"/>
        <v>0.00%</v>
      </c>
      <c r="AB73" s="2">
        <f t="shared" si="45"/>
        <v>0</v>
      </c>
      <c r="AC73" s="81" t="str">
        <f>TEXT('MYP Assumptions'!J72,"0.00%")&amp;", CPI"</f>
        <v>2.73%, CPI</v>
      </c>
    </row>
    <row r="74" spans="1:29" hidden="1" x14ac:dyDescent="0.25">
      <c r="A74" s="153"/>
      <c r="B74" s="1326"/>
      <c r="D74" s="2">
        <v>0</v>
      </c>
      <c r="E74" s="1249"/>
      <c r="F74" s="2"/>
      <c r="G74" s="1527" t="str">
        <f t="shared" si="35"/>
        <v>0.00%</v>
      </c>
      <c r="H74" s="2">
        <f t="shared" si="46"/>
        <v>0</v>
      </c>
      <c r="I74" s="1240" t="str">
        <f>TEXT('MYP Assumptions'!E72,"0.00%")&amp;", CPI"</f>
        <v>3.11%, CPI</v>
      </c>
      <c r="J74" s="66"/>
      <c r="K74" s="1527" t="str">
        <f t="shared" si="38"/>
        <v>0.00%</v>
      </c>
      <c r="L74" s="2">
        <f t="shared" si="39"/>
        <v>0</v>
      </c>
      <c r="M74" s="1240" t="str">
        <f>TEXT('MYP Assumptions'!F72,"0.00%")&amp;", CPI"</f>
        <v>3.19%, CPI</v>
      </c>
      <c r="O74" s="1527" t="str">
        <f t="shared" si="40"/>
        <v>0.00%</v>
      </c>
      <c r="P74" s="2">
        <f t="shared" si="41"/>
        <v>0</v>
      </c>
      <c r="Q74" s="1240" t="str">
        <f>TEXT('MYP Assumptions'!G72,"0.00%")&amp;", CPI"</f>
        <v>2.86%, CPI</v>
      </c>
      <c r="S74" s="83" t="str">
        <f t="shared" si="42"/>
        <v>0.00%</v>
      </c>
      <c r="T74" s="2">
        <f t="shared" si="43"/>
        <v>0</v>
      </c>
      <c r="U74" s="81" t="str">
        <f>TEXT('MYP Assumptions'!H72,"0.00%")&amp;", CPI"</f>
        <v>2.73%, CPI</v>
      </c>
      <c r="W74" s="83" t="str">
        <f t="shared" si="36"/>
        <v>0.00%</v>
      </c>
      <c r="X74" s="2">
        <f t="shared" si="44"/>
        <v>0</v>
      </c>
      <c r="Y74" s="81" t="str">
        <f>TEXT('MYP Assumptions'!I72,"0.00%")&amp;", CPI"</f>
        <v>2.73%, CPI</v>
      </c>
      <c r="AA74" s="83" t="str">
        <f t="shared" si="37"/>
        <v>0.00%</v>
      </c>
      <c r="AB74" s="2">
        <f t="shared" si="45"/>
        <v>0</v>
      </c>
      <c r="AC74" s="81" t="str">
        <f>TEXT('MYP Assumptions'!J72,"0.00%")&amp;", CPI"</f>
        <v>2.73%, CPI</v>
      </c>
    </row>
    <row r="75" spans="1:29" hidden="1" x14ac:dyDescent="0.25">
      <c r="A75" s="153"/>
      <c r="B75" s="1326"/>
      <c r="D75" s="2">
        <v>0</v>
      </c>
      <c r="E75" s="1249"/>
      <c r="F75" s="2"/>
      <c r="G75" s="1527" t="str">
        <f>IF(D75=0,"0.00%",(H75-D75)/D75)</f>
        <v>0.00%</v>
      </c>
      <c r="H75" s="2">
        <f t="shared" si="46"/>
        <v>0</v>
      </c>
      <c r="I75" s="1240" t="str">
        <f>TEXT('MYP Assumptions'!E72,"0.00%")&amp;", CPI"</f>
        <v>3.11%, CPI</v>
      </c>
      <c r="J75" s="66"/>
      <c r="K75" s="1527" t="str">
        <f t="shared" si="38"/>
        <v>0.00%</v>
      </c>
      <c r="L75" s="2">
        <f t="shared" si="39"/>
        <v>0</v>
      </c>
      <c r="M75" s="1240" t="str">
        <f>TEXT('MYP Assumptions'!F72,"0.00%")&amp;", CPI"</f>
        <v>3.19%, CPI</v>
      </c>
      <c r="O75" s="1527" t="str">
        <f t="shared" si="40"/>
        <v>0.00%</v>
      </c>
      <c r="P75" s="2">
        <f t="shared" si="41"/>
        <v>0</v>
      </c>
      <c r="Q75" s="1240" t="str">
        <f>TEXT('MYP Assumptions'!G72,"0.00%")&amp;", CPI"</f>
        <v>2.86%, CPI</v>
      </c>
      <c r="S75" s="83" t="str">
        <f t="shared" si="42"/>
        <v>0.00%</v>
      </c>
      <c r="T75" s="2">
        <f t="shared" si="43"/>
        <v>0</v>
      </c>
      <c r="U75" s="81" t="str">
        <f>TEXT('MYP Assumptions'!H72,"0.00%")&amp;", CPI"</f>
        <v>2.73%, CPI</v>
      </c>
      <c r="W75" s="83" t="str">
        <f t="shared" si="36"/>
        <v>0.00%</v>
      </c>
      <c r="X75" s="2">
        <f t="shared" si="44"/>
        <v>0</v>
      </c>
      <c r="Y75" s="81" t="str">
        <f>TEXT('MYP Assumptions'!I72,"0.00%")&amp;", CPI"</f>
        <v>2.73%, CPI</v>
      </c>
      <c r="AA75" s="83" t="str">
        <f t="shared" si="37"/>
        <v>0.00%</v>
      </c>
      <c r="AB75" s="2">
        <f t="shared" si="45"/>
        <v>0</v>
      </c>
      <c r="AC75" s="81" t="str">
        <f>TEXT('MYP Assumptions'!J72,"0.00%")&amp;", CPI"</f>
        <v>2.73%, CPI</v>
      </c>
    </row>
    <row r="76" spans="1:29" hidden="1" x14ac:dyDescent="0.25">
      <c r="A76" s="153"/>
      <c r="B76" s="1326"/>
      <c r="D76" s="2">
        <v>0</v>
      </c>
      <c r="E76" s="1249"/>
      <c r="F76" s="2"/>
      <c r="G76" s="1527" t="str">
        <f t="shared" ref="G76:G82" si="47">IF(D76=0,"0.00%",(H76-D76)/D76)</f>
        <v>0.00%</v>
      </c>
      <c r="H76" s="2">
        <f t="shared" si="46"/>
        <v>0</v>
      </c>
      <c r="I76" s="1240" t="str">
        <f>TEXT('MYP Assumptions'!E72,"0.00%")&amp;", CPI"</f>
        <v>3.11%, CPI</v>
      </c>
      <c r="J76" s="66"/>
      <c r="K76" s="1527" t="str">
        <f t="shared" si="38"/>
        <v>0.00%</v>
      </c>
      <c r="L76" s="2">
        <f t="shared" si="39"/>
        <v>0</v>
      </c>
      <c r="M76" s="1240" t="str">
        <f>TEXT('MYP Assumptions'!F72,"0.00%")&amp;", CPI"</f>
        <v>3.19%, CPI</v>
      </c>
      <c r="O76" s="1527" t="str">
        <f t="shared" si="40"/>
        <v>0.00%</v>
      </c>
      <c r="P76" s="2">
        <f t="shared" si="41"/>
        <v>0</v>
      </c>
      <c r="Q76" s="1240" t="str">
        <f>TEXT('MYP Assumptions'!G72,"0.00%")&amp;", CPI"</f>
        <v>2.86%, CPI</v>
      </c>
      <c r="S76" s="83" t="str">
        <f t="shared" si="42"/>
        <v>0.00%</v>
      </c>
      <c r="T76" s="2">
        <f t="shared" si="43"/>
        <v>0</v>
      </c>
      <c r="U76" s="81" t="str">
        <f>TEXT('MYP Assumptions'!H72,"0.00%")&amp;", CPI"</f>
        <v>2.73%, CPI</v>
      </c>
      <c r="W76" s="83" t="str">
        <f t="shared" si="36"/>
        <v>0.00%</v>
      </c>
      <c r="X76" s="2">
        <f t="shared" si="44"/>
        <v>0</v>
      </c>
      <c r="Y76" s="81" t="str">
        <f>TEXT('MYP Assumptions'!I72,"0.00%")&amp;", CPI"</f>
        <v>2.73%, CPI</v>
      </c>
      <c r="AA76" s="83" t="str">
        <f t="shared" si="37"/>
        <v>0.00%</v>
      </c>
      <c r="AB76" s="2">
        <f t="shared" si="45"/>
        <v>0</v>
      </c>
      <c r="AC76" s="81" t="str">
        <f>TEXT('MYP Assumptions'!J72,"0.00%")&amp;", CPI"</f>
        <v>2.73%, CPI</v>
      </c>
    </row>
    <row r="77" spans="1:29" hidden="1" x14ac:dyDescent="0.25">
      <c r="A77" s="153"/>
      <c r="B77" s="1326"/>
      <c r="D77" s="2">
        <v>0</v>
      </c>
      <c r="E77" s="1249"/>
      <c r="F77" s="2"/>
      <c r="G77" s="1527" t="str">
        <f t="shared" si="47"/>
        <v>0.00%</v>
      </c>
      <c r="H77" s="2">
        <f>ROUND(D77*(LEFT(I77,5)+1),0)</f>
        <v>0</v>
      </c>
      <c r="I77" s="1240" t="str">
        <f>TEXT('MYP Assumptions'!E72,"0.00%")&amp;", CPI"</f>
        <v>3.11%, CPI</v>
      </c>
      <c r="J77" s="66"/>
      <c r="K77" s="1527" t="str">
        <f t="shared" si="38"/>
        <v>0.00%</v>
      </c>
      <c r="L77" s="2">
        <f t="shared" si="39"/>
        <v>0</v>
      </c>
      <c r="M77" s="1240" t="str">
        <f>TEXT('MYP Assumptions'!F72,"0.00%")&amp;", CPI"</f>
        <v>3.19%, CPI</v>
      </c>
      <c r="O77" s="1527" t="str">
        <f t="shared" si="40"/>
        <v>0.00%</v>
      </c>
      <c r="P77" s="2">
        <f t="shared" si="41"/>
        <v>0</v>
      </c>
      <c r="Q77" s="1240" t="str">
        <f>TEXT('MYP Assumptions'!G72,"0.00%")&amp;", CPI"</f>
        <v>2.86%, CPI</v>
      </c>
      <c r="S77" s="83" t="str">
        <f t="shared" si="42"/>
        <v>0.00%</v>
      </c>
      <c r="T77" s="2">
        <f t="shared" si="43"/>
        <v>0</v>
      </c>
      <c r="U77" s="81" t="str">
        <f>TEXT('MYP Assumptions'!H72,"0.00%")&amp;", CPI"</f>
        <v>2.73%, CPI</v>
      </c>
      <c r="W77" s="83" t="str">
        <f t="shared" si="36"/>
        <v>0.00%</v>
      </c>
      <c r="X77" s="2">
        <f t="shared" si="44"/>
        <v>0</v>
      </c>
      <c r="Y77" s="81" t="str">
        <f>TEXT('MYP Assumptions'!I72,"0.00%")&amp;", CPI"</f>
        <v>2.73%, CPI</v>
      </c>
      <c r="AA77" s="83" t="str">
        <f t="shared" si="37"/>
        <v>0.00%</v>
      </c>
      <c r="AB77" s="2">
        <f t="shared" si="45"/>
        <v>0</v>
      </c>
      <c r="AC77" s="81" t="str">
        <f>TEXT('MYP Assumptions'!J72,"0.00%")&amp;", CPI"</f>
        <v>2.73%, CPI</v>
      </c>
    </row>
    <row r="78" spans="1:29" hidden="1" x14ac:dyDescent="0.25">
      <c r="A78" s="153"/>
      <c r="B78" s="1326"/>
      <c r="D78" s="2">
        <v>0</v>
      </c>
      <c r="E78" s="1249"/>
      <c r="F78" s="2"/>
      <c r="G78" s="1527" t="str">
        <f t="shared" si="47"/>
        <v>0.00%</v>
      </c>
      <c r="H78" s="2">
        <f>ROUND(D78*(LEFT(I78,5)+1),0)</f>
        <v>0</v>
      </c>
      <c r="I78" s="1240" t="str">
        <f>TEXT('MYP Assumptions'!E72,"0.00%")&amp;", CPI"</f>
        <v>3.11%, CPI</v>
      </c>
      <c r="J78" s="66"/>
      <c r="K78" s="1527" t="str">
        <f t="shared" si="38"/>
        <v>0.00%</v>
      </c>
      <c r="L78" s="2">
        <f t="shared" si="39"/>
        <v>0</v>
      </c>
      <c r="M78" s="1240" t="str">
        <f>TEXT('MYP Assumptions'!F72,"0.00%")&amp;", CPI"</f>
        <v>3.19%, CPI</v>
      </c>
      <c r="O78" s="1527" t="str">
        <f t="shared" si="40"/>
        <v>0.00%</v>
      </c>
      <c r="P78" s="2">
        <f t="shared" si="41"/>
        <v>0</v>
      </c>
      <c r="Q78" s="1240" t="str">
        <f>TEXT('MYP Assumptions'!G72,"0.00%")&amp;", CPI"</f>
        <v>2.86%, CPI</v>
      </c>
      <c r="S78" s="83" t="str">
        <f t="shared" si="42"/>
        <v>0.00%</v>
      </c>
      <c r="T78" s="2">
        <f t="shared" si="43"/>
        <v>0</v>
      </c>
      <c r="U78" s="81" t="str">
        <f>TEXT('MYP Assumptions'!H72,"0.00%")&amp;", CPI"</f>
        <v>2.73%, CPI</v>
      </c>
      <c r="W78" s="83" t="str">
        <f t="shared" si="36"/>
        <v>0.00%</v>
      </c>
      <c r="X78" s="2">
        <f t="shared" si="44"/>
        <v>0</v>
      </c>
      <c r="Y78" s="81" t="str">
        <f>TEXT('MYP Assumptions'!I72,"0.00%")&amp;", CPI"</f>
        <v>2.73%, CPI</v>
      </c>
      <c r="AA78" s="83" t="str">
        <f t="shared" si="37"/>
        <v>0.00%</v>
      </c>
      <c r="AB78" s="2">
        <f t="shared" si="45"/>
        <v>0</v>
      </c>
      <c r="AC78" s="81" t="str">
        <f>TEXT('MYP Assumptions'!J72,"0.00%")&amp;", CPI"</f>
        <v>2.73%, CPI</v>
      </c>
    </row>
    <row r="79" spans="1:29" hidden="1" x14ac:dyDescent="0.25">
      <c r="A79" s="153"/>
      <c r="B79" s="1326"/>
      <c r="D79" s="2">
        <v>0</v>
      </c>
      <c r="E79" s="1249"/>
      <c r="F79" s="2"/>
      <c r="G79" s="1527" t="str">
        <f t="shared" si="47"/>
        <v>0.00%</v>
      </c>
      <c r="H79" s="2">
        <f>ROUND(D79*(LEFT(I79,5)+1),0)</f>
        <v>0</v>
      </c>
      <c r="I79" s="1240" t="str">
        <f>TEXT('MYP Assumptions'!E72,"0.00%")&amp;", CPI"</f>
        <v>3.11%, CPI</v>
      </c>
      <c r="J79" s="66"/>
      <c r="K79" s="1527" t="str">
        <f t="shared" si="38"/>
        <v>0.00%</v>
      </c>
      <c r="L79" s="2">
        <f t="shared" si="39"/>
        <v>0</v>
      </c>
      <c r="M79" s="1240" t="str">
        <f>TEXT('MYP Assumptions'!F72,"0.00%")&amp;", CPI"</f>
        <v>3.19%, CPI</v>
      </c>
      <c r="O79" s="1527" t="str">
        <f t="shared" si="40"/>
        <v>0.00%</v>
      </c>
      <c r="P79" s="2">
        <f t="shared" si="41"/>
        <v>0</v>
      </c>
      <c r="Q79" s="1240" t="str">
        <f>TEXT('MYP Assumptions'!G72,"0.00%")&amp;", CPI"</f>
        <v>2.86%, CPI</v>
      </c>
      <c r="S79" s="83" t="str">
        <f t="shared" si="42"/>
        <v>0.00%</v>
      </c>
      <c r="T79" s="2">
        <f t="shared" si="43"/>
        <v>0</v>
      </c>
      <c r="U79" s="81" t="str">
        <f>TEXT('MYP Assumptions'!H72,"0.00%")&amp;", CPI"</f>
        <v>2.73%, CPI</v>
      </c>
      <c r="W79" s="83" t="str">
        <f t="shared" si="36"/>
        <v>0.00%</v>
      </c>
      <c r="X79" s="2">
        <f t="shared" si="44"/>
        <v>0</v>
      </c>
      <c r="Y79" s="81" t="str">
        <f>TEXT('MYP Assumptions'!I72,"0.00%")&amp;", CPI"</f>
        <v>2.73%, CPI</v>
      </c>
      <c r="AA79" s="83" t="str">
        <f t="shared" si="37"/>
        <v>0.00%</v>
      </c>
      <c r="AB79" s="2">
        <f t="shared" si="45"/>
        <v>0</v>
      </c>
      <c r="AC79" s="81" t="str">
        <f>TEXT('MYP Assumptions'!J72,"0.00%")&amp;", CPI"</f>
        <v>2.73%, CPI</v>
      </c>
    </row>
    <row r="80" spans="1:29" hidden="1" x14ac:dyDescent="0.25">
      <c r="A80" s="153"/>
      <c r="B80" s="1326"/>
      <c r="D80" s="2">
        <v>0</v>
      </c>
      <c r="E80" s="1249"/>
      <c r="F80" s="2"/>
      <c r="G80" s="1527" t="str">
        <f t="shared" si="47"/>
        <v>0.00%</v>
      </c>
      <c r="H80" s="2">
        <f>ROUND(D80*(LEFT(I80,5)+1),0)</f>
        <v>0</v>
      </c>
      <c r="I80" s="1240" t="str">
        <f>TEXT('MYP Assumptions'!E72,"0.00%")&amp;", CPI"</f>
        <v>3.11%, CPI</v>
      </c>
      <c r="J80" s="66"/>
      <c r="K80" s="1527" t="str">
        <f t="shared" si="38"/>
        <v>0.00%</v>
      </c>
      <c r="L80" s="2">
        <f t="shared" si="39"/>
        <v>0</v>
      </c>
      <c r="M80" s="1240" t="str">
        <f>TEXT('MYP Assumptions'!F72,"0.00%")&amp;", CPI"</f>
        <v>3.19%, CPI</v>
      </c>
      <c r="O80" s="1527" t="str">
        <f t="shared" si="40"/>
        <v>0.00%</v>
      </c>
      <c r="P80" s="2">
        <f t="shared" si="41"/>
        <v>0</v>
      </c>
      <c r="Q80" s="1240" t="str">
        <f>TEXT('MYP Assumptions'!G72,"0.00%")&amp;", CPI"</f>
        <v>2.86%, CPI</v>
      </c>
      <c r="S80" s="83" t="str">
        <f t="shared" si="42"/>
        <v>0.00%</v>
      </c>
      <c r="T80" s="2">
        <f t="shared" si="43"/>
        <v>0</v>
      </c>
      <c r="U80" s="81" t="str">
        <f>TEXT('MYP Assumptions'!H72,"0.00%")&amp;", CPI"</f>
        <v>2.73%, CPI</v>
      </c>
      <c r="W80" s="83" t="str">
        <f t="shared" si="36"/>
        <v>0.00%</v>
      </c>
      <c r="X80" s="2">
        <f t="shared" si="44"/>
        <v>0</v>
      </c>
      <c r="Y80" s="81" t="str">
        <f>TEXT('MYP Assumptions'!I72,"0.00%")&amp;", CPI"</f>
        <v>2.73%, CPI</v>
      </c>
      <c r="AA80" s="83" t="str">
        <f t="shared" si="37"/>
        <v>0.00%</v>
      </c>
      <c r="AB80" s="2">
        <f t="shared" si="45"/>
        <v>0</v>
      </c>
      <c r="AC80" s="81" t="str">
        <f>TEXT('MYP Assumptions'!J72,"0.00%")&amp;", CPI"</f>
        <v>2.73%, CPI</v>
      </c>
    </row>
    <row r="81" spans="1:29" hidden="1" x14ac:dyDescent="0.25">
      <c r="A81" s="153"/>
      <c r="B81" s="1326"/>
      <c r="D81" s="2">
        <f>'RS 3010-ALL'!AF80</f>
        <v>0</v>
      </c>
      <c r="E81" s="1249"/>
      <c r="F81" s="2"/>
      <c r="G81" s="1527" t="str">
        <f t="shared" si="47"/>
        <v>0.00%</v>
      </c>
      <c r="H81" s="2">
        <f>ROUND(D81*(LEFT(I81,5)+1),0)</f>
        <v>0</v>
      </c>
      <c r="I81" s="1240" t="str">
        <f>TEXT('MYP Assumptions'!E72,"0.00%")&amp;", CPI"</f>
        <v>3.11%, CPI</v>
      </c>
      <c r="J81" s="66"/>
      <c r="K81" s="1527" t="str">
        <f t="shared" si="38"/>
        <v>0.00%</v>
      </c>
      <c r="L81" s="2">
        <f t="shared" si="39"/>
        <v>0</v>
      </c>
      <c r="M81" s="1240" t="str">
        <f>TEXT('MYP Assumptions'!F72,"0.00%")&amp;", CPI"</f>
        <v>3.19%, CPI</v>
      </c>
      <c r="O81" s="1527" t="str">
        <f t="shared" si="40"/>
        <v>0.00%</v>
      </c>
      <c r="P81" s="2">
        <f t="shared" si="41"/>
        <v>0</v>
      </c>
      <c r="Q81" s="1240" t="str">
        <f>TEXT('MYP Assumptions'!G72,"0.00%")&amp;", CPI"</f>
        <v>2.86%, CPI</v>
      </c>
      <c r="S81" s="83" t="str">
        <f t="shared" si="42"/>
        <v>0.00%</v>
      </c>
      <c r="T81" s="2">
        <f t="shared" si="43"/>
        <v>0</v>
      </c>
      <c r="U81" s="81" t="str">
        <f>TEXT('MYP Assumptions'!H72,"0.00%")&amp;", CPI"</f>
        <v>2.73%, CPI</v>
      </c>
      <c r="W81" s="83" t="str">
        <f t="shared" si="36"/>
        <v>0.00%</v>
      </c>
      <c r="X81" s="2">
        <f t="shared" si="44"/>
        <v>0</v>
      </c>
      <c r="Y81" s="81" t="str">
        <f>TEXT('MYP Assumptions'!I72,"0.00%")&amp;", CPI"</f>
        <v>2.73%, CPI</v>
      </c>
      <c r="AA81" s="83" t="str">
        <f t="shared" si="37"/>
        <v>0.00%</v>
      </c>
      <c r="AB81" s="2">
        <f t="shared" si="45"/>
        <v>0</v>
      </c>
      <c r="AC81" s="81" t="str">
        <f>TEXT('MYP Assumptions'!J72,"0.00%")&amp;", CPI"</f>
        <v>2.73%, CPI</v>
      </c>
    </row>
    <row r="82" spans="1:29" hidden="1" x14ac:dyDescent="0.25">
      <c r="A82" s="154"/>
      <c r="D82" s="8">
        <f>SUM(D69:D81)</f>
        <v>0</v>
      </c>
      <c r="E82" s="1249"/>
      <c r="F82" s="2"/>
      <c r="G82" s="1527" t="str">
        <f t="shared" si="47"/>
        <v>0.00%</v>
      </c>
      <c r="H82" s="8">
        <f>SUM(H69:H81)</f>
        <v>0</v>
      </c>
      <c r="I82" s="1258"/>
      <c r="J82" s="29"/>
      <c r="K82" s="1527" t="str">
        <f t="shared" si="38"/>
        <v>0.00%</v>
      </c>
      <c r="L82" s="8">
        <f>SUM(L69:L81)</f>
        <v>0</v>
      </c>
      <c r="M82" s="1335"/>
      <c r="O82" s="1527" t="str">
        <f t="shared" si="40"/>
        <v>0.00%</v>
      </c>
      <c r="P82" s="8">
        <f>SUM(P69:P81)</f>
        <v>0</v>
      </c>
      <c r="Q82" s="1335"/>
      <c r="S82" s="83" t="str">
        <f t="shared" si="42"/>
        <v>0.00%</v>
      </c>
      <c r="T82" s="8">
        <f>SUM(T69:T81)</f>
        <v>0</v>
      </c>
      <c r="U82" s="73"/>
      <c r="W82" s="83" t="str">
        <f t="shared" si="36"/>
        <v>0.00%</v>
      </c>
      <c r="X82" s="8">
        <f>SUM(X69:X81)</f>
        <v>0</v>
      </c>
      <c r="Y82" s="73"/>
      <c r="AA82" s="83" t="str">
        <f t="shared" si="37"/>
        <v>0.00%</v>
      </c>
      <c r="AB82" s="8">
        <f>SUM(AB69:AB81)</f>
        <v>0</v>
      </c>
      <c r="AC82" s="73"/>
    </row>
    <row r="83" spans="1:29" x14ac:dyDescent="0.25">
      <c r="A83" s="153"/>
      <c r="B83" s="1323"/>
      <c r="E83" s="1249"/>
      <c r="F83" s="2"/>
      <c r="G83" s="1527"/>
      <c r="H83" s="2"/>
      <c r="I83" s="1257"/>
      <c r="J83" s="66"/>
      <c r="L83" s="2"/>
      <c r="M83" s="1335"/>
      <c r="Q83" s="1335"/>
      <c r="T83" s="2"/>
      <c r="U83" s="73"/>
      <c r="X83" s="2"/>
      <c r="Y83" s="73"/>
      <c r="AB83" s="2"/>
      <c r="AC83" s="73"/>
    </row>
    <row r="84" spans="1:29" x14ac:dyDescent="0.25">
      <c r="A84" s="153"/>
      <c r="E84" s="1249"/>
      <c r="F84" s="2"/>
      <c r="H84" s="2"/>
      <c r="I84" s="1257"/>
      <c r="J84" s="66"/>
      <c r="L84" s="2"/>
      <c r="M84" s="1335"/>
      <c r="Q84" s="1335"/>
      <c r="T84" s="2"/>
      <c r="U84" s="73"/>
      <c r="X84" s="2"/>
      <c r="Y84" s="73"/>
      <c r="AB84" s="2"/>
      <c r="AC84" s="73"/>
    </row>
    <row r="85" spans="1:29" x14ac:dyDescent="0.25">
      <c r="A85" s="154"/>
      <c r="B85" s="1323" t="s">
        <v>0</v>
      </c>
      <c r="D85" s="8">
        <f>SUM(D82,D66,D55,D13)</f>
        <v>0</v>
      </c>
      <c r="E85" s="1249"/>
      <c r="F85" s="2"/>
      <c r="G85" s="1527" t="str">
        <f>IF(D85=0,"0.00%",(H85-D85)/D85)</f>
        <v>0.00%</v>
      </c>
      <c r="H85" s="8">
        <f>SUM(H82,H66,H55,H13)</f>
        <v>8623</v>
      </c>
      <c r="I85" s="1258"/>
      <c r="J85" s="29"/>
      <c r="K85" s="1527">
        <f>IF(H85=0,"0.00%",(L85-H85)/H85)</f>
        <v>-1</v>
      </c>
      <c r="L85" s="8">
        <f>SUM(L82,L66,L55,L13)</f>
        <v>0</v>
      </c>
      <c r="M85" s="1335"/>
      <c r="O85" s="1527" t="str">
        <f>IF(L85=0,"0.00%",(P85-L85)/L85)</f>
        <v>0.00%</v>
      </c>
      <c r="P85" s="8">
        <f>SUM(P82,P66,P55,P13)</f>
        <v>0</v>
      </c>
      <c r="Q85" s="1335"/>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3"/>
      <c r="E86" s="1249"/>
      <c r="F86" s="2"/>
      <c r="H86" s="2"/>
      <c r="I86" s="1257"/>
      <c r="J86" s="66"/>
      <c r="L86" s="2"/>
      <c r="M86" s="1335"/>
      <c r="Q86" s="1335"/>
      <c r="T86" s="2"/>
      <c r="U86" s="73"/>
      <c r="X86" s="2"/>
      <c r="Y86" s="73"/>
      <c r="AB86" s="2"/>
      <c r="AC86" s="73"/>
    </row>
    <row r="87" spans="1:29" x14ac:dyDescent="0.25">
      <c r="A87" s="153"/>
      <c r="B87" s="1323" t="s">
        <v>138</v>
      </c>
      <c r="D87" s="3">
        <f>D11-D85</f>
        <v>0</v>
      </c>
      <c r="G87" s="1527" t="str">
        <f>IF(D87=0,"0.00%",(H87-D87)/D87)</f>
        <v>0.00%</v>
      </c>
      <c r="H87" s="3">
        <f>H11-H85</f>
        <v>0</v>
      </c>
      <c r="I87" s="1257"/>
      <c r="J87" s="66"/>
      <c r="K87" s="1527" t="str">
        <f>IF(H87=0,"0.00%",(L87-H87)/H87)</f>
        <v>0.00%</v>
      </c>
      <c r="L87" s="3">
        <f>L11-L85</f>
        <v>0</v>
      </c>
      <c r="M87" s="1335"/>
      <c r="O87" s="1527" t="str">
        <f>IF(L87=0,"0.00%",(P87-L87)/L87)</f>
        <v>0.00%</v>
      </c>
      <c r="P87" s="3">
        <f>P11-P85</f>
        <v>0</v>
      </c>
      <c r="Q87" s="1335"/>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1323"/>
      <c r="C88" s="1317"/>
      <c r="D88" s="3"/>
      <c r="H88" s="3"/>
      <c r="I88" s="1257"/>
      <c r="J88" s="66"/>
      <c r="L88" s="3"/>
      <c r="M88" s="1335"/>
      <c r="P88" s="3"/>
      <c r="Q88" s="1335"/>
      <c r="T88" s="44"/>
      <c r="U88" s="73"/>
      <c r="X88" s="44"/>
      <c r="Y88" s="73"/>
      <c r="AB88" s="44"/>
      <c r="AC88" s="73"/>
    </row>
    <row r="89" spans="1:29" x14ac:dyDescent="0.25">
      <c r="B89" s="1323" t="s">
        <v>136</v>
      </c>
      <c r="C89" s="1319"/>
      <c r="D89" s="3">
        <f>D7+D87</f>
        <v>0</v>
      </c>
      <c r="G89" s="1527" t="str">
        <f>IF(D89=0,"0.00%",(H89-D89)/D89)</f>
        <v>0.00%</v>
      </c>
      <c r="H89" s="3">
        <f>H7+H87</f>
        <v>0</v>
      </c>
      <c r="I89" s="1257"/>
      <c r="J89" s="66"/>
      <c r="K89" s="1527" t="str">
        <f>IF(H89=0,"0.00%",(L89-H89)/H89)</f>
        <v>0.00%</v>
      </c>
      <c r="L89" s="3">
        <f>L7+L87</f>
        <v>0</v>
      </c>
      <c r="M89" s="1335"/>
      <c r="O89" s="1527" t="str">
        <f>IF(L89=0,"0.00%",(P89-L89)/L89)</f>
        <v>0.00%</v>
      </c>
      <c r="P89" s="3">
        <f>P7+P87</f>
        <v>0</v>
      </c>
      <c r="Q89" s="1335"/>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1259"/>
      <c r="G90" s="1540"/>
      <c r="H90" s="5"/>
      <c r="I90" s="1258"/>
      <c r="J90" s="29"/>
      <c r="L90" s="5"/>
      <c r="M90" s="1335"/>
      <c r="P90" s="5"/>
      <c r="Q90" s="1335"/>
      <c r="T90" s="5"/>
      <c r="U90" s="73"/>
      <c r="X90" s="5"/>
      <c r="Y90" s="73"/>
      <c r="AB90" s="5"/>
      <c r="AC90" s="73"/>
    </row>
    <row r="91" spans="1:29" x14ac:dyDescent="0.25">
      <c r="C91" s="1254"/>
      <c r="G91" s="1540"/>
      <c r="H91" s="36"/>
      <c r="I91" s="1257"/>
      <c r="J91" s="66"/>
      <c r="L91" s="2"/>
      <c r="M91" s="1335"/>
      <c r="Q91" s="1335"/>
      <c r="T91" s="2"/>
      <c r="U91" s="73"/>
      <c r="X91" s="2"/>
      <c r="Y91" s="73"/>
      <c r="AB91" s="2"/>
      <c r="AC91" s="73"/>
    </row>
    <row r="92" spans="1:29" x14ac:dyDescent="0.25">
      <c r="C92" s="1254"/>
      <c r="G92" s="1540"/>
      <c r="H92" s="36"/>
      <c r="I92" s="1257"/>
      <c r="J92" s="66"/>
      <c r="L92" s="2"/>
      <c r="M92" s="1335"/>
      <c r="Q92" s="1335"/>
      <c r="T92" s="2"/>
      <c r="U92" s="73"/>
      <c r="X92" s="2"/>
      <c r="Y92" s="73"/>
      <c r="AB92" s="2"/>
      <c r="AC92" s="73"/>
    </row>
    <row r="93" spans="1:29" x14ac:dyDescent="0.25">
      <c r="C93" s="1254"/>
      <c r="G93" s="1540"/>
      <c r="H93" s="36"/>
      <c r="I93" s="1257"/>
      <c r="J93" s="66"/>
      <c r="L93" s="2"/>
      <c r="M93" s="1335"/>
      <c r="Q93" s="1335"/>
      <c r="T93" s="2"/>
      <c r="U93" s="73"/>
      <c r="X93" s="2"/>
      <c r="Y93" s="73"/>
      <c r="AB93" s="2"/>
      <c r="AC93" s="73"/>
    </row>
    <row r="94" spans="1:29" x14ac:dyDescent="0.25">
      <c r="C94" s="1254"/>
      <c r="G94" s="1540"/>
      <c r="H94" s="36"/>
      <c r="I94" s="1257"/>
      <c r="J94" s="66"/>
      <c r="L94" s="2"/>
      <c r="M94" s="1335"/>
      <c r="Q94" s="1335"/>
      <c r="T94" s="2"/>
      <c r="U94" s="73"/>
      <c r="X94" s="2"/>
      <c r="Y94" s="73"/>
      <c r="AB94" s="2"/>
      <c r="AC94" s="73"/>
    </row>
    <row r="95" spans="1:29" s="138" customFormat="1" ht="11.25" x14ac:dyDescent="0.2">
      <c r="A95" s="157"/>
      <c r="B95" s="1329"/>
      <c r="C95" s="1330" t="s">
        <v>226</v>
      </c>
      <c r="D95" s="135">
        <f>+D82+D66+D53+D41+D30</f>
        <v>0</v>
      </c>
      <c r="E95" s="1251"/>
      <c r="G95" s="1541" t="s">
        <v>226</v>
      </c>
      <c r="H95" s="135">
        <f>+H82+H66+H53+H41+H30</f>
        <v>8623</v>
      </c>
      <c r="I95" s="1260"/>
      <c r="J95" s="136"/>
      <c r="K95" s="1541" t="s">
        <v>226</v>
      </c>
      <c r="L95" s="135">
        <f>+L82+L66+L53+L41+L30</f>
        <v>0</v>
      </c>
      <c r="M95" s="1338"/>
      <c r="O95" s="1541" t="s">
        <v>226</v>
      </c>
      <c r="P95" s="135">
        <f>+P82+P66+P53+P41+P30</f>
        <v>0</v>
      </c>
      <c r="Q95" s="1338"/>
      <c r="R95" s="140"/>
      <c r="S95" s="134" t="s">
        <v>226</v>
      </c>
      <c r="T95" s="135">
        <f>+T82+T66+T53+T41+T30</f>
        <v>0</v>
      </c>
      <c r="U95" s="139"/>
      <c r="W95" s="134" t="s">
        <v>226</v>
      </c>
      <c r="X95" s="135">
        <f>+X82+X66+X53+X41+X30</f>
        <v>0</v>
      </c>
      <c r="Y95" s="139"/>
      <c r="AA95" s="134" t="s">
        <v>226</v>
      </c>
      <c r="AB95" s="135">
        <f>+AB82+AB66+AB53+AB41+AB30</f>
        <v>0</v>
      </c>
      <c r="AC95" s="139"/>
    </row>
    <row r="96" spans="1:29" s="138" customFormat="1" ht="11.25" x14ac:dyDescent="0.2">
      <c r="A96" s="159"/>
      <c r="B96" s="1329"/>
      <c r="C96" s="1331" t="s">
        <v>227</v>
      </c>
      <c r="D96" s="143">
        <f>+D13</f>
        <v>0</v>
      </c>
      <c r="E96" s="1252"/>
      <c r="F96" s="145"/>
      <c r="G96" s="1546" t="s">
        <v>227</v>
      </c>
      <c r="H96" s="143">
        <f>+H13</f>
        <v>0</v>
      </c>
      <c r="I96" s="1261"/>
      <c r="J96" s="144"/>
      <c r="K96" s="1546" t="s">
        <v>227</v>
      </c>
      <c r="L96" s="143">
        <f>+L13</f>
        <v>0</v>
      </c>
      <c r="M96" s="1338"/>
      <c r="O96" s="1546" t="s">
        <v>227</v>
      </c>
      <c r="P96" s="143">
        <f>+P13</f>
        <v>0</v>
      </c>
      <c r="Q96" s="1251"/>
      <c r="R96" s="140"/>
      <c r="S96" s="142" t="s">
        <v>227</v>
      </c>
      <c r="T96" s="143">
        <f>+T13</f>
        <v>0</v>
      </c>
      <c r="W96" s="142" t="s">
        <v>227</v>
      </c>
      <c r="X96" s="143">
        <f>+X13</f>
        <v>0</v>
      </c>
      <c r="AA96" s="142" t="s">
        <v>227</v>
      </c>
      <c r="AB96" s="143">
        <f>+AB13</f>
        <v>0</v>
      </c>
    </row>
    <row r="97" spans="1:28" s="138" customFormat="1" ht="11.25" x14ac:dyDescent="0.2">
      <c r="A97" s="159"/>
      <c r="B97" s="1329"/>
      <c r="C97" s="1331"/>
      <c r="D97" s="146">
        <f>+D95+D96</f>
        <v>0</v>
      </c>
      <c r="E97" s="1252"/>
      <c r="F97" s="145"/>
      <c r="G97" s="1546"/>
      <c r="H97" s="146">
        <f>+H95+H96</f>
        <v>8623</v>
      </c>
      <c r="I97" s="1261"/>
      <c r="J97" s="144"/>
      <c r="K97" s="1546"/>
      <c r="L97" s="146">
        <f>+L95+L96</f>
        <v>0</v>
      </c>
      <c r="M97" s="1251"/>
      <c r="O97" s="1546"/>
      <c r="P97" s="146">
        <f>+P95+P96</f>
        <v>0</v>
      </c>
      <c r="Q97" s="1251"/>
      <c r="R97" s="140"/>
      <c r="S97" s="142"/>
      <c r="T97" s="146">
        <f>+T95+T96</f>
        <v>0</v>
      </c>
      <c r="W97" s="142"/>
      <c r="X97" s="146">
        <f>+X95+X96</f>
        <v>0</v>
      </c>
      <c r="AA97" s="142"/>
      <c r="AB97" s="146">
        <f>+AB95+AB96</f>
        <v>0</v>
      </c>
    </row>
    <row r="98" spans="1:28" ht="15" customHeight="1" x14ac:dyDescent="0.25">
      <c r="A98" s="153"/>
      <c r="B98" s="1332"/>
      <c r="C98" s="1332"/>
      <c r="D98" s="5">
        <f>+D85-D97</f>
        <v>0</v>
      </c>
      <c r="E98" s="1249"/>
      <c r="F98" s="2"/>
      <c r="G98" s="1543"/>
      <c r="H98" s="5">
        <f>+H85-H97</f>
        <v>0</v>
      </c>
      <c r="K98" s="1543"/>
      <c r="L98" s="5">
        <f>+L85-L97</f>
        <v>0</v>
      </c>
      <c r="O98" s="1543"/>
      <c r="P98" s="5">
        <f>+P85-P97</f>
        <v>0</v>
      </c>
      <c r="S98" s="103"/>
      <c r="T98" s="5">
        <f>+T85-T97</f>
        <v>0</v>
      </c>
      <c r="W98" s="103"/>
      <c r="X98" s="5">
        <f>+X85-X97</f>
        <v>0</v>
      </c>
      <c r="AA98" s="103"/>
      <c r="AB98" s="5">
        <f>+AB85-AB97</f>
        <v>0</v>
      </c>
    </row>
    <row r="99" spans="1:28" x14ac:dyDescent="0.25">
      <c r="A99" s="153"/>
      <c r="B99" s="1332"/>
      <c r="C99" s="1332"/>
      <c r="D99" s="36"/>
      <c r="E99" s="1249"/>
      <c r="F99" s="2"/>
    </row>
    <row r="100" spans="1:28" x14ac:dyDescent="0.25">
      <c r="A100" s="153"/>
      <c r="B100" s="1319"/>
      <c r="C100" s="1254"/>
      <c r="D100" s="25"/>
      <c r="E100" s="1249"/>
      <c r="F100" s="2"/>
    </row>
    <row r="101" spans="1:28" x14ac:dyDescent="0.25">
      <c r="B101" s="1319"/>
      <c r="C101" s="1254"/>
      <c r="D101" s="36"/>
    </row>
    <row r="102" spans="1:28" x14ac:dyDescent="0.25">
      <c r="B102" s="1319"/>
      <c r="C102" s="1254"/>
      <c r="D102" s="36"/>
    </row>
    <row r="103" spans="1:28" ht="15" customHeight="1" x14ac:dyDescent="0.25">
      <c r="B103" s="1319"/>
      <c r="C103" s="1254"/>
      <c r="D103" s="36"/>
    </row>
    <row r="104" spans="1:28" x14ac:dyDescent="0.25">
      <c r="B104" s="1319"/>
      <c r="C104" s="1254"/>
      <c r="D104" s="36"/>
    </row>
    <row r="105" spans="1:28" x14ac:dyDescent="0.25">
      <c r="B105" s="1319"/>
      <c r="C105" s="1254"/>
      <c r="D105" s="36"/>
    </row>
    <row r="106" spans="1:28" ht="15" customHeight="1" x14ac:dyDescent="0.25">
      <c r="B106" s="2151"/>
      <c r="C106" s="2151"/>
      <c r="D106" s="36"/>
    </row>
    <row r="107" spans="1:28" x14ac:dyDescent="0.25">
      <c r="B107" s="2151"/>
      <c r="C107" s="2151"/>
      <c r="D107" s="36"/>
    </row>
    <row r="108" spans="1:28" x14ac:dyDescent="0.25">
      <c r="B108" s="1319"/>
      <c r="C108" s="1254"/>
      <c r="D108" s="6"/>
    </row>
    <row r="109" spans="1:28" x14ac:dyDescent="0.25">
      <c r="B109" s="1319"/>
      <c r="C109" s="1254"/>
      <c r="D109" s="36"/>
    </row>
    <row r="110" spans="1:28" x14ac:dyDescent="0.25">
      <c r="B110" s="1319"/>
      <c r="C110" s="1254"/>
      <c r="D110" s="36"/>
    </row>
    <row r="111" spans="1:28" ht="28.5" customHeight="1" x14ac:dyDescent="0.25">
      <c r="B111" s="1319"/>
      <c r="C111" s="1254"/>
      <c r="D111" s="25"/>
    </row>
    <row r="112" spans="1:28" x14ac:dyDescent="0.25">
      <c r="B112" s="1319"/>
      <c r="C112" s="1254"/>
      <c r="D112" s="36"/>
    </row>
    <row r="113" spans="2:4" x14ac:dyDescent="0.25">
      <c r="B113" s="1319"/>
      <c r="C113" s="1254"/>
      <c r="D113" s="36"/>
    </row>
    <row r="114" spans="2:4" x14ac:dyDescent="0.25">
      <c r="B114" s="1319"/>
      <c r="C114" s="1254"/>
      <c r="D114" s="36"/>
    </row>
    <row r="115" spans="2:4" x14ac:dyDescent="0.25">
      <c r="B115" s="1319"/>
      <c r="C115" s="1254"/>
      <c r="D115" s="36"/>
    </row>
    <row r="116" spans="2:4" x14ac:dyDescent="0.25">
      <c r="B116" s="1319"/>
      <c r="C116" s="1254"/>
      <c r="D116" s="36"/>
    </row>
    <row r="117" spans="2:4" x14ac:dyDescent="0.25">
      <c r="B117" s="1319"/>
      <c r="C117" s="1254"/>
      <c r="D117" s="36"/>
    </row>
    <row r="118" spans="2:4" x14ac:dyDescent="0.25">
      <c r="B118" s="1319"/>
      <c r="C118" s="1254"/>
      <c r="D118" s="36"/>
    </row>
    <row r="119" spans="2:4" x14ac:dyDescent="0.25">
      <c r="B119" s="1319"/>
      <c r="C119" s="1254"/>
      <c r="D119" s="36"/>
    </row>
    <row r="120" spans="2:4" x14ac:dyDescent="0.25">
      <c r="B120" s="1319"/>
      <c r="C120" s="1254"/>
      <c r="D120" s="36"/>
    </row>
    <row r="121" spans="2:4" x14ac:dyDescent="0.25">
      <c r="B121" s="1319"/>
      <c r="C121" s="1254"/>
      <c r="D121" s="36"/>
    </row>
    <row r="122" spans="2:4" x14ac:dyDescent="0.25">
      <c r="B122" s="1319"/>
      <c r="C122" s="1254"/>
      <c r="D122" s="36"/>
    </row>
    <row r="123" spans="2:4" x14ac:dyDescent="0.25">
      <c r="B123" s="1319"/>
      <c r="C123" s="1254"/>
      <c r="D123" s="36"/>
    </row>
    <row r="124" spans="2:4" x14ac:dyDescent="0.25">
      <c r="B124" s="1319"/>
      <c r="C124" s="1254"/>
      <c r="D124" s="36"/>
    </row>
    <row r="125" spans="2:4" x14ac:dyDescent="0.25">
      <c r="B125" s="1319"/>
      <c r="C125" s="1254"/>
      <c r="D125" s="36"/>
    </row>
    <row r="126" spans="2:4" x14ac:dyDescent="0.25">
      <c r="B126" s="1319"/>
      <c r="C126" s="1254"/>
      <c r="D126" s="36"/>
    </row>
  </sheetData>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72"/>
  <sheetViews>
    <sheetView showGridLines="0" zoomScaleNormal="100" workbookViewId="0">
      <selection activeCell="L28" sqref="L28"/>
    </sheetView>
  </sheetViews>
  <sheetFormatPr defaultRowHeight="17.25" customHeight="1" x14ac:dyDescent="0.2"/>
  <cols>
    <col min="1" max="1" width="13.140625" style="721" customWidth="1"/>
    <col min="2" max="2" width="33.7109375" style="721" customWidth="1"/>
    <col min="3" max="7" width="14.28515625" style="1442" customWidth="1"/>
    <col min="8" max="8" width="9.140625" style="1442"/>
    <col min="9" max="16384" width="9.140625" style="721"/>
  </cols>
  <sheetData>
    <row r="1" spans="1:7" ht="17.25" customHeight="1" x14ac:dyDescent="0.2">
      <c r="A1" s="730" t="s">
        <v>700</v>
      </c>
      <c r="B1" s="819"/>
      <c r="C1" s="1438" t="s">
        <v>411</v>
      </c>
      <c r="D1" s="1439" t="s">
        <v>55</v>
      </c>
      <c r="E1" s="1440" t="s">
        <v>701</v>
      </c>
      <c r="F1" s="1441" t="s">
        <v>702</v>
      </c>
      <c r="G1" s="1441" t="str">
        <f>+LEFT(F1,4)+1&amp;"-"&amp;RIGHT(F1,4)+1</f>
        <v>2019-2020</v>
      </c>
    </row>
    <row r="2" spans="1:7" ht="17.25" customHeight="1" x14ac:dyDescent="0.2">
      <c r="A2" s="731" t="s">
        <v>901</v>
      </c>
      <c r="B2" s="820"/>
      <c r="C2" s="1443" t="s">
        <v>703</v>
      </c>
      <c r="D2" s="1444" t="s">
        <v>704</v>
      </c>
      <c r="E2" s="1445" t="s">
        <v>704</v>
      </c>
      <c r="F2" s="1446" t="s">
        <v>704</v>
      </c>
      <c r="G2" s="1446" t="s">
        <v>704</v>
      </c>
    </row>
    <row r="3" spans="1:7" ht="17.25" customHeight="1" x14ac:dyDescent="0.2">
      <c r="A3" s="722" t="s">
        <v>705</v>
      </c>
      <c r="B3" s="821"/>
      <c r="C3" s="1447">
        <v>1001283.51</v>
      </c>
      <c r="D3" s="1448">
        <f>C7</f>
        <v>1162816.4700000004</v>
      </c>
      <c r="E3" s="1449">
        <f>D7</f>
        <v>1215097.1700000006</v>
      </c>
      <c r="F3" s="1450">
        <f>E7</f>
        <v>1127678.1700000006</v>
      </c>
      <c r="G3" s="1450">
        <f>F7</f>
        <v>1139910.1700000006</v>
      </c>
    </row>
    <row r="4" spans="1:7" ht="17.25" customHeight="1" x14ac:dyDescent="0.2">
      <c r="A4" s="719" t="s">
        <v>706</v>
      </c>
      <c r="B4" s="718"/>
      <c r="C4" s="1451">
        <v>3662574.9100000006</v>
      </c>
      <c r="D4" s="1452">
        <v>3777500</v>
      </c>
      <c r="E4" s="1453">
        <v>3380000</v>
      </c>
      <c r="F4" s="1454">
        <f>ROUND(+E4*(1+5%),0)</f>
        <v>3549000</v>
      </c>
      <c r="G4" s="1454">
        <f>ROUND(+F4*(1+2%),0)</f>
        <v>3619980</v>
      </c>
    </row>
    <row r="5" spans="1:7" ht="17.25" customHeight="1" x14ac:dyDescent="0.2">
      <c r="A5" s="719" t="s">
        <v>707</v>
      </c>
      <c r="B5" s="718"/>
      <c r="C5" s="1451">
        <v>3501041.95</v>
      </c>
      <c r="D5" s="1452">
        <v>3725219.3</v>
      </c>
      <c r="E5" s="1453">
        <v>3467419</v>
      </c>
      <c r="F5" s="1454">
        <f>+ROUNDUP(E5*1.02,0)</f>
        <v>3536768</v>
      </c>
      <c r="G5" s="1454">
        <f>+ROUNDUP(F5*1.025,0)</f>
        <v>3625188</v>
      </c>
    </row>
    <row r="6" spans="1:7" ht="17.25" customHeight="1" x14ac:dyDescent="0.2">
      <c r="A6" s="720" t="s">
        <v>708</v>
      </c>
      <c r="B6" s="718"/>
      <c r="C6" s="1451">
        <f>C4-C5</f>
        <v>161532.96000000043</v>
      </c>
      <c r="D6" s="1452">
        <f>D4-D5</f>
        <v>52280.700000000186</v>
      </c>
      <c r="E6" s="1453">
        <f>E4-E5</f>
        <v>-87419</v>
      </c>
      <c r="F6" s="1454">
        <f>F4-F5</f>
        <v>12232</v>
      </c>
      <c r="G6" s="1454">
        <f>G4-G5</f>
        <v>-5208</v>
      </c>
    </row>
    <row r="7" spans="1:7" ht="17.25" customHeight="1" x14ac:dyDescent="0.2">
      <c r="A7" s="723" t="s">
        <v>709</v>
      </c>
      <c r="B7" s="822"/>
      <c r="C7" s="1455">
        <f>C3+C6</f>
        <v>1162816.4700000004</v>
      </c>
      <c r="D7" s="1456">
        <f>D3+D6</f>
        <v>1215097.1700000006</v>
      </c>
      <c r="E7" s="1457">
        <f>E3+E6</f>
        <v>1127678.1700000006</v>
      </c>
      <c r="F7" s="1458">
        <f>F3+F6</f>
        <v>1139910.1700000006</v>
      </c>
      <c r="G7" s="1458">
        <f>G3+G6</f>
        <v>1134702.1700000006</v>
      </c>
    </row>
    <row r="8" spans="1:7" ht="17.25" customHeight="1" x14ac:dyDescent="0.2">
      <c r="A8" s="724"/>
      <c r="B8" s="725"/>
      <c r="C8" s="1459"/>
      <c r="D8" s="1460"/>
      <c r="E8" s="1461"/>
      <c r="F8" s="1462"/>
      <c r="G8" s="1462"/>
    </row>
    <row r="9" spans="1:7" ht="17.25" customHeight="1" x14ac:dyDescent="0.2">
      <c r="A9" s="730" t="s">
        <v>710</v>
      </c>
      <c r="B9" s="819"/>
      <c r="C9" s="1438" t="str">
        <f>C1</f>
        <v>2015-2016</v>
      </c>
      <c r="D9" s="1439" t="str">
        <f>D1</f>
        <v>2016-2017</v>
      </c>
      <c r="E9" s="1440" t="str">
        <f>E1</f>
        <v>2017-2018</v>
      </c>
      <c r="F9" s="1441" t="str">
        <f>F1</f>
        <v>2018-2019</v>
      </c>
      <c r="G9" s="1441" t="str">
        <f>G1</f>
        <v>2019-2020</v>
      </c>
    </row>
    <row r="10" spans="1:7" ht="17.25" customHeight="1" x14ac:dyDescent="0.2">
      <c r="A10" s="731" t="s">
        <v>902</v>
      </c>
      <c r="B10" s="823"/>
      <c r="C10" s="1443" t="str">
        <f>+C2</f>
        <v>Actual</v>
      </c>
      <c r="D10" s="1444" t="s">
        <v>704</v>
      </c>
      <c r="E10" s="1445" t="s">
        <v>704</v>
      </c>
      <c r="F10" s="1446" t="s">
        <v>704</v>
      </c>
      <c r="G10" s="1446" t="s">
        <v>704</v>
      </c>
    </row>
    <row r="11" spans="1:7" ht="17.25" customHeight="1" x14ac:dyDescent="0.2">
      <c r="A11" s="726" t="s">
        <v>705</v>
      </c>
      <c r="B11" s="824"/>
      <c r="C11" s="1463">
        <v>730226.93</v>
      </c>
      <c r="D11" s="1464">
        <f>C15</f>
        <v>736678.49000000011</v>
      </c>
      <c r="E11" s="1465">
        <f>+D15</f>
        <v>0</v>
      </c>
      <c r="F11" s="1466">
        <f>E15</f>
        <v>0</v>
      </c>
      <c r="G11" s="1466">
        <f>F15</f>
        <v>0</v>
      </c>
    </row>
    <row r="12" spans="1:7" ht="17.25" customHeight="1" x14ac:dyDescent="0.2">
      <c r="A12" s="719" t="s">
        <v>706</v>
      </c>
      <c r="B12" s="718"/>
      <c r="C12" s="1451">
        <v>6451.56</v>
      </c>
      <c r="D12" s="1452">
        <v>5000</v>
      </c>
      <c r="E12" s="1453">
        <v>0</v>
      </c>
      <c r="F12" s="1454">
        <f>ROUND(+E12*(1+'MYP Assumptions'!$F$44),0)</f>
        <v>0</v>
      </c>
      <c r="G12" s="1454">
        <f>ROUND(+F12*(1+'MYP Assumptions'!$G$44),0)</f>
        <v>0</v>
      </c>
    </row>
    <row r="13" spans="1:7" ht="17.25" customHeight="1" x14ac:dyDescent="0.2">
      <c r="A13" s="719" t="s">
        <v>707</v>
      </c>
      <c r="B13" s="718"/>
      <c r="C13" s="1451">
        <v>0</v>
      </c>
      <c r="D13" s="1452">
        <v>741678.49</v>
      </c>
      <c r="E13" s="1453">
        <v>0</v>
      </c>
      <c r="F13" s="1454">
        <f>+ROUNDUP(E13*(1+'MYP Assumptions'!$F$72),0)</f>
        <v>0</v>
      </c>
      <c r="G13" s="1454">
        <f>+ROUNDUP(F13*(1+'MYP Assumptions'!$G$72),0)</f>
        <v>0</v>
      </c>
    </row>
    <row r="14" spans="1:7" ht="17.25" customHeight="1" x14ac:dyDescent="0.2">
      <c r="A14" s="720" t="s">
        <v>708</v>
      </c>
      <c r="B14" s="718"/>
      <c r="C14" s="1451">
        <f>C12-C13</f>
        <v>6451.56</v>
      </c>
      <c r="D14" s="1452">
        <f>D12-D13</f>
        <v>-736678.49</v>
      </c>
      <c r="E14" s="1453">
        <f>E12-E13</f>
        <v>0</v>
      </c>
      <c r="F14" s="1454">
        <f>F12-F13</f>
        <v>0</v>
      </c>
      <c r="G14" s="1454">
        <f>G12-G13</f>
        <v>0</v>
      </c>
    </row>
    <row r="15" spans="1:7" ht="17.25" customHeight="1" x14ac:dyDescent="0.2">
      <c r="A15" s="727" t="s">
        <v>709</v>
      </c>
      <c r="B15" s="822"/>
      <c r="C15" s="1455">
        <f>C11+C14</f>
        <v>736678.49000000011</v>
      </c>
      <c r="D15" s="1456">
        <f>D11+D14</f>
        <v>0</v>
      </c>
      <c r="E15" s="1457">
        <f>E11+E14</f>
        <v>0</v>
      </c>
      <c r="F15" s="1458">
        <f>F11+F14</f>
        <v>0</v>
      </c>
      <c r="G15" s="1458">
        <f>G11+G14</f>
        <v>0</v>
      </c>
    </row>
    <row r="16" spans="1:7" ht="17.25" customHeight="1" x14ac:dyDescent="0.2">
      <c r="A16" s="728"/>
      <c r="B16" s="725"/>
      <c r="C16" s="1467"/>
      <c r="D16" s="1460"/>
      <c r="E16" s="1461"/>
      <c r="F16" s="1462"/>
      <c r="G16" s="1462"/>
    </row>
    <row r="17" spans="1:7" ht="17.25" customHeight="1" x14ac:dyDescent="0.2">
      <c r="A17" s="730" t="s">
        <v>711</v>
      </c>
      <c r="B17" s="819"/>
      <c r="C17" s="1438" t="str">
        <f>C1</f>
        <v>2015-2016</v>
      </c>
      <c r="D17" s="1439" t="str">
        <f>D1</f>
        <v>2016-2017</v>
      </c>
      <c r="E17" s="1440" t="str">
        <f>E1</f>
        <v>2017-2018</v>
      </c>
      <c r="F17" s="1441" t="str">
        <f>F1</f>
        <v>2018-2019</v>
      </c>
      <c r="G17" s="1441" t="str">
        <f>G1</f>
        <v>2019-2020</v>
      </c>
    </row>
    <row r="18" spans="1:7" ht="17.25" customHeight="1" x14ac:dyDescent="0.2">
      <c r="A18" s="731" t="s">
        <v>903</v>
      </c>
      <c r="B18" s="823"/>
      <c r="C18" s="1443" t="str">
        <f>+C10</f>
        <v>Actual</v>
      </c>
      <c r="D18" s="1444" t="s">
        <v>704</v>
      </c>
      <c r="E18" s="1445" t="s">
        <v>704</v>
      </c>
      <c r="F18" s="1446" t="s">
        <v>704</v>
      </c>
      <c r="G18" s="1446" t="s">
        <v>704</v>
      </c>
    </row>
    <row r="19" spans="1:7" ht="17.25" customHeight="1" x14ac:dyDescent="0.2">
      <c r="A19" s="726" t="s">
        <v>705</v>
      </c>
      <c r="B19" s="824"/>
      <c r="C19" s="1468">
        <v>235422.03</v>
      </c>
      <c r="D19" s="1469">
        <f>C23</f>
        <v>393862.3</v>
      </c>
      <c r="E19" s="1470">
        <f>D23</f>
        <v>733362.3</v>
      </c>
      <c r="F19" s="1471">
        <f>E23</f>
        <v>1073362.3</v>
      </c>
      <c r="G19" s="1471">
        <f>F23</f>
        <v>1414362.3</v>
      </c>
    </row>
    <row r="20" spans="1:7" ht="17.25" customHeight="1" x14ac:dyDescent="0.2">
      <c r="A20" s="719" t="s">
        <v>706</v>
      </c>
      <c r="B20" s="718"/>
      <c r="C20" s="1451">
        <v>158440.26999999999</v>
      </c>
      <c r="D20" s="1452">
        <v>339500</v>
      </c>
      <c r="E20" s="1453">
        <v>340000</v>
      </c>
      <c r="F20" s="1454">
        <v>341000</v>
      </c>
      <c r="G20" s="1454">
        <v>342000</v>
      </c>
    </row>
    <row r="21" spans="1:7" ht="17.25" customHeight="1" x14ac:dyDescent="0.2">
      <c r="A21" s="719" t="s">
        <v>707</v>
      </c>
      <c r="B21" s="718"/>
      <c r="C21" s="1451">
        <v>0</v>
      </c>
      <c r="D21" s="1452">
        <v>0</v>
      </c>
      <c r="E21" s="1453">
        <v>0</v>
      </c>
      <c r="F21" s="1454">
        <f>+ROUNDUP(E21*(1+'MYP Assumptions'!$F$72),0)</f>
        <v>0</v>
      </c>
      <c r="G21" s="1454">
        <f>+ROUNDUP(F21*(1+'MYP Assumptions'!$G$72),0)</f>
        <v>0</v>
      </c>
    </row>
    <row r="22" spans="1:7" ht="17.25" customHeight="1" x14ac:dyDescent="0.2">
      <c r="A22" s="720" t="s">
        <v>708</v>
      </c>
      <c r="B22" s="718"/>
      <c r="C22" s="1451">
        <f>C20-C21</f>
        <v>158440.26999999999</v>
      </c>
      <c r="D22" s="1452">
        <f>D20-D21</f>
        <v>339500</v>
      </c>
      <c r="E22" s="1453">
        <f>E20-E21</f>
        <v>340000</v>
      </c>
      <c r="F22" s="1454">
        <f>F20-F21</f>
        <v>341000</v>
      </c>
      <c r="G22" s="1454">
        <f>G20-G21</f>
        <v>342000</v>
      </c>
    </row>
    <row r="23" spans="1:7" ht="17.25" customHeight="1" x14ac:dyDescent="0.2">
      <c r="A23" s="729" t="s">
        <v>709</v>
      </c>
      <c r="B23" s="825"/>
      <c r="C23" s="1455">
        <f>C19+C22</f>
        <v>393862.3</v>
      </c>
      <c r="D23" s="1456">
        <f>D19+D22</f>
        <v>733362.3</v>
      </c>
      <c r="E23" s="1457">
        <f>E19+E22</f>
        <v>1073362.3</v>
      </c>
      <c r="F23" s="1458">
        <f>F19+F22</f>
        <v>1414362.3</v>
      </c>
      <c r="G23" s="1458">
        <f>G19+G22</f>
        <v>1756362.3</v>
      </c>
    </row>
    <row r="24" spans="1:7" ht="17.25" customHeight="1" x14ac:dyDescent="0.2">
      <c r="A24" s="724"/>
      <c r="B24" s="725"/>
      <c r="C24" s="1467"/>
      <c r="D24" s="1460"/>
      <c r="E24" s="1461"/>
      <c r="F24" s="1462"/>
      <c r="G24" s="1462"/>
    </row>
    <row r="25" spans="1:7" ht="17.25" customHeight="1" x14ac:dyDescent="0.2">
      <c r="A25" s="730" t="s">
        <v>712</v>
      </c>
      <c r="B25" s="819"/>
      <c r="C25" s="1438" t="str">
        <f>C1</f>
        <v>2015-2016</v>
      </c>
      <c r="D25" s="1439" t="str">
        <f>D1</f>
        <v>2016-2017</v>
      </c>
      <c r="E25" s="1440" t="str">
        <f>E1</f>
        <v>2017-2018</v>
      </c>
      <c r="F25" s="1441" t="str">
        <f>F1</f>
        <v>2018-2019</v>
      </c>
      <c r="G25" s="1441" t="str">
        <f>G1</f>
        <v>2019-2020</v>
      </c>
    </row>
    <row r="26" spans="1:7" ht="17.25" customHeight="1" x14ac:dyDescent="0.2">
      <c r="A26" s="731" t="s">
        <v>904</v>
      </c>
      <c r="B26" s="823"/>
      <c r="C26" s="1443" t="str">
        <f>+C18</f>
        <v>Actual</v>
      </c>
      <c r="D26" s="1444" t="s">
        <v>704</v>
      </c>
      <c r="E26" s="1445" t="s">
        <v>704</v>
      </c>
      <c r="F26" s="1446" t="s">
        <v>704</v>
      </c>
      <c r="G26" s="1446" t="s">
        <v>704</v>
      </c>
    </row>
    <row r="27" spans="1:7" ht="17.25" customHeight="1" x14ac:dyDescent="0.2">
      <c r="A27" s="726" t="s">
        <v>705</v>
      </c>
      <c r="B27" s="824"/>
      <c r="C27" s="1468">
        <v>3405228.65</v>
      </c>
      <c r="D27" s="1469">
        <f>C31</f>
        <v>2865875.6799999997</v>
      </c>
      <c r="E27" s="1470">
        <f>D31</f>
        <v>0</v>
      </c>
      <c r="F27" s="1471">
        <f>E31</f>
        <v>0</v>
      </c>
      <c r="G27" s="1471">
        <f>F31</f>
        <v>0</v>
      </c>
    </row>
    <row r="28" spans="1:7" ht="17.25" customHeight="1" x14ac:dyDescent="0.2">
      <c r="A28" s="719" t="s">
        <v>706</v>
      </c>
      <c r="B28" s="718"/>
      <c r="C28" s="1451">
        <v>29021.37</v>
      </c>
      <c r="D28" s="1452">
        <v>10000</v>
      </c>
      <c r="E28" s="1453">
        <v>0</v>
      </c>
      <c r="F28" s="1454">
        <f>ROUND(+E28*(1+'MYP Assumptions'!$F$44),0)</f>
        <v>0</v>
      </c>
      <c r="G28" s="1454">
        <f>ROUND(+F28*(1+'MYP Assumptions'!$G$44),0)</f>
        <v>0</v>
      </c>
    </row>
    <row r="29" spans="1:7" ht="17.25" customHeight="1" x14ac:dyDescent="0.2">
      <c r="A29" s="719" t="s">
        <v>707</v>
      </c>
      <c r="B29" s="718"/>
      <c r="C29" s="1451">
        <v>568374.34</v>
      </c>
      <c r="D29" s="1452">
        <v>2875875.68</v>
      </c>
      <c r="E29" s="1453">
        <v>0</v>
      </c>
      <c r="F29" s="1454">
        <f>+ROUNDUP(E29*(1+'MYP Assumptions'!$F$72),0)</f>
        <v>0</v>
      </c>
      <c r="G29" s="1454">
        <f>+ROUNDUP(F29*(1+'MYP Assumptions'!$G$72),0)</f>
        <v>0</v>
      </c>
    </row>
    <row r="30" spans="1:7" ht="17.25" customHeight="1" x14ac:dyDescent="0.2">
      <c r="A30" s="720" t="s">
        <v>708</v>
      </c>
      <c r="B30" s="718"/>
      <c r="C30" s="1451">
        <f>C28-C29</f>
        <v>-539352.97</v>
      </c>
      <c r="D30" s="1452">
        <f>D28-D29</f>
        <v>-2865875.68</v>
      </c>
      <c r="E30" s="1453">
        <f>E28-E29</f>
        <v>0</v>
      </c>
      <c r="F30" s="1454">
        <f>F28-F29</f>
        <v>0</v>
      </c>
      <c r="G30" s="1454">
        <f>G28-G29</f>
        <v>0</v>
      </c>
    </row>
    <row r="31" spans="1:7" ht="17.25" customHeight="1" x14ac:dyDescent="0.2">
      <c r="A31" s="723" t="s">
        <v>709</v>
      </c>
      <c r="B31" s="822"/>
      <c r="C31" s="1455">
        <f>C27+C30</f>
        <v>2865875.6799999997</v>
      </c>
      <c r="D31" s="1456">
        <f>D27+D30</f>
        <v>0</v>
      </c>
      <c r="E31" s="1457">
        <f>E27+E30</f>
        <v>0</v>
      </c>
      <c r="F31" s="1458">
        <f>F27+F30</f>
        <v>0</v>
      </c>
      <c r="G31" s="1458">
        <f>G27+G30</f>
        <v>0</v>
      </c>
    </row>
    <row r="32" spans="1:7" ht="17.25" customHeight="1" x14ac:dyDescent="0.2">
      <c r="A32" s="724"/>
      <c r="B32" s="725"/>
      <c r="C32" s="1467"/>
      <c r="D32" s="1460"/>
      <c r="E32" s="1461"/>
      <c r="F32" s="1462"/>
      <c r="G32" s="1462"/>
    </row>
    <row r="33" spans="1:7" ht="17.25" customHeight="1" x14ac:dyDescent="0.2">
      <c r="A33" s="730" t="s">
        <v>714</v>
      </c>
      <c r="B33" s="819"/>
      <c r="C33" s="1438" t="str">
        <f>C1</f>
        <v>2015-2016</v>
      </c>
      <c r="D33" s="1439" t="str">
        <f>D1</f>
        <v>2016-2017</v>
      </c>
      <c r="E33" s="1440" t="str">
        <f>E1</f>
        <v>2017-2018</v>
      </c>
      <c r="F33" s="1441" t="str">
        <f>F1</f>
        <v>2018-2019</v>
      </c>
      <c r="G33" s="1441" t="str">
        <f>G1</f>
        <v>2019-2020</v>
      </c>
    </row>
    <row r="34" spans="1:7" ht="17.25" customHeight="1" x14ac:dyDescent="0.2">
      <c r="A34" s="731" t="s">
        <v>905</v>
      </c>
      <c r="B34" s="820"/>
      <c r="C34" s="1443" t="str">
        <f>+C26</f>
        <v>Actual</v>
      </c>
      <c r="D34" s="1444" t="s">
        <v>704</v>
      </c>
      <c r="E34" s="1445" t="s">
        <v>704</v>
      </c>
      <c r="F34" s="1446" t="s">
        <v>704</v>
      </c>
      <c r="G34" s="1446" t="s">
        <v>704</v>
      </c>
    </row>
    <row r="35" spans="1:7" ht="17.25" customHeight="1" x14ac:dyDescent="0.2">
      <c r="A35" s="726" t="s">
        <v>705</v>
      </c>
      <c r="B35" s="824"/>
      <c r="C35" s="1463">
        <v>88799.78</v>
      </c>
      <c r="D35" s="1464">
        <f>C39</f>
        <v>165705.64000000001</v>
      </c>
      <c r="E35" s="1465">
        <f>D39</f>
        <v>93705.640000000014</v>
      </c>
      <c r="F35" s="1466">
        <f>E39</f>
        <v>55705.640000000014</v>
      </c>
      <c r="G35" s="1466">
        <f>F39</f>
        <v>36727.640000000014</v>
      </c>
    </row>
    <row r="36" spans="1:7" ht="17.25" customHeight="1" x14ac:dyDescent="0.2">
      <c r="A36" s="719" t="s">
        <v>706</v>
      </c>
      <c r="B36" s="718"/>
      <c r="C36" s="1451">
        <v>81905.86</v>
      </c>
      <c r="D36" s="1452">
        <v>1000</v>
      </c>
      <c r="E36" s="1453">
        <v>1000</v>
      </c>
      <c r="F36" s="1454">
        <f>ROUND(+E36*(1+'MYP Assumptions'!$F$44),0)</f>
        <v>1022</v>
      </c>
      <c r="G36" s="1454">
        <f>ROUND(+F36*(1+'MYP Assumptions'!$G$44),0)</f>
        <v>1046</v>
      </c>
    </row>
    <row r="37" spans="1:7" ht="17.25" customHeight="1" x14ac:dyDescent="0.2">
      <c r="A37" s="719" t="s">
        <v>707</v>
      </c>
      <c r="B37" s="718"/>
      <c r="C37" s="1451">
        <v>5000</v>
      </c>
      <c r="D37" s="1452">
        <v>73000</v>
      </c>
      <c r="E37" s="1453">
        <v>39000</v>
      </c>
      <c r="F37" s="1454">
        <v>20000</v>
      </c>
      <c r="G37" s="1454">
        <v>10000</v>
      </c>
    </row>
    <row r="38" spans="1:7" ht="17.25" customHeight="1" x14ac:dyDescent="0.2">
      <c r="A38" s="720" t="s">
        <v>708</v>
      </c>
      <c r="B38" s="718"/>
      <c r="C38" s="1451">
        <f>C36-C37</f>
        <v>76905.86</v>
      </c>
      <c r="D38" s="1452">
        <f>D36-D37</f>
        <v>-72000</v>
      </c>
      <c r="E38" s="1453">
        <f>E36-E37</f>
        <v>-38000</v>
      </c>
      <c r="F38" s="1454">
        <f>F36-F37</f>
        <v>-18978</v>
      </c>
      <c r="G38" s="1454">
        <f>G36-G37</f>
        <v>-8954</v>
      </c>
    </row>
    <row r="39" spans="1:7" ht="17.25" customHeight="1" x14ac:dyDescent="0.2">
      <c r="A39" s="723" t="s">
        <v>709</v>
      </c>
      <c r="B39" s="822"/>
      <c r="C39" s="1455">
        <f>C35+C38</f>
        <v>165705.64000000001</v>
      </c>
      <c r="D39" s="1456">
        <f>D35+D38</f>
        <v>93705.640000000014</v>
      </c>
      <c r="E39" s="1457">
        <f>E35+E38</f>
        <v>55705.640000000014</v>
      </c>
      <c r="F39" s="1458">
        <f>F35+F38</f>
        <v>36727.640000000014</v>
      </c>
      <c r="G39" s="1458">
        <f>G35+G38</f>
        <v>27773.640000000014</v>
      </c>
    </row>
    <row r="40" spans="1:7" ht="17.25" customHeight="1" x14ac:dyDescent="0.2">
      <c r="A40" s="724"/>
      <c r="B40" s="725"/>
      <c r="C40" s="1467"/>
      <c r="D40" s="1460"/>
      <c r="E40" s="1461"/>
      <c r="F40" s="1462"/>
      <c r="G40" s="1462"/>
    </row>
    <row r="41" spans="1:7" ht="17.25" customHeight="1" x14ac:dyDescent="0.2">
      <c r="A41" s="730" t="s">
        <v>715</v>
      </c>
      <c r="B41" s="819"/>
      <c r="C41" s="1438" t="str">
        <f>C1</f>
        <v>2015-2016</v>
      </c>
      <c r="D41" s="1439" t="str">
        <f>D1</f>
        <v>2016-2017</v>
      </c>
      <c r="E41" s="1440" t="str">
        <f>E1</f>
        <v>2017-2018</v>
      </c>
      <c r="F41" s="1441" t="str">
        <f>F1</f>
        <v>2018-2019</v>
      </c>
      <c r="G41" s="1441" t="str">
        <f>G1</f>
        <v>2019-2020</v>
      </c>
    </row>
    <row r="42" spans="1:7" ht="17.25" customHeight="1" x14ac:dyDescent="0.2">
      <c r="A42" s="731" t="s">
        <v>906</v>
      </c>
      <c r="B42" s="820"/>
      <c r="C42" s="1443" t="str">
        <f>+C34</f>
        <v>Actual</v>
      </c>
      <c r="D42" s="1444" t="s">
        <v>704</v>
      </c>
      <c r="E42" s="1445" t="s">
        <v>704</v>
      </c>
      <c r="F42" s="1446" t="s">
        <v>704</v>
      </c>
      <c r="G42" s="1446" t="s">
        <v>704</v>
      </c>
    </row>
    <row r="43" spans="1:7" ht="17.25" customHeight="1" x14ac:dyDescent="0.2">
      <c r="A43" s="726" t="s">
        <v>705</v>
      </c>
      <c r="B43" s="824"/>
      <c r="C43" s="1468">
        <v>2057.5700000000002</v>
      </c>
      <c r="D43" s="1469">
        <f>C47</f>
        <v>5416.3999999999978</v>
      </c>
      <c r="E43" s="1470">
        <f>D47</f>
        <v>6166.3999999999978</v>
      </c>
      <c r="F43" s="1471">
        <f>E47</f>
        <v>7166.3999999999978</v>
      </c>
      <c r="G43" s="1471">
        <f>F47</f>
        <v>8725.3999999999978</v>
      </c>
    </row>
    <row r="44" spans="1:7" ht="17.25" customHeight="1" x14ac:dyDescent="0.2">
      <c r="A44" s="719" t="s">
        <v>706</v>
      </c>
      <c r="B44" s="718"/>
      <c r="C44" s="1451">
        <v>25059.26</v>
      </c>
      <c r="D44" s="1452">
        <v>25050</v>
      </c>
      <c r="E44" s="1453">
        <v>26000</v>
      </c>
      <c r="F44" s="1454">
        <f>ROUND(+E44*(1+'MYP Assumptions'!$F$44),0)</f>
        <v>26559</v>
      </c>
      <c r="G44" s="1454">
        <f>ROUND(+F44*(1+'MYP Assumptions'!$G$44),0)</f>
        <v>27183</v>
      </c>
    </row>
    <row r="45" spans="1:7" ht="17.25" customHeight="1" x14ac:dyDescent="0.2">
      <c r="A45" s="719" t="s">
        <v>707</v>
      </c>
      <c r="B45" s="718"/>
      <c r="C45" s="1451">
        <v>21700.43</v>
      </c>
      <c r="D45" s="1452">
        <v>24300</v>
      </c>
      <c r="E45" s="1453">
        <v>25000</v>
      </c>
      <c r="F45" s="1454">
        <v>25000</v>
      </c>
      <c r="G45" s="1454">
        <v>25000</v>
      </c>
    </row>
    <row r="46" spans="1:7" ht="17.25" customHeight="1" x14ac:dyDescent="0.2">
      <c r="A46" s="720" t="s">
        <v>708</v>
      </c>
      <c r="B46" s="718"/>
      <c r="C46" s="1451">
        <f>C44-C45</f>
        <v>3358.8299999999981</v>
      </c>
      <c r="D46" s="1452">
        <f>D44-D45</f>
        <v>750</v>
      </c>
      <c r="E46" s="1453">
        <f>E44-E45</f>
        <v>1000</v>
      </c>
      <c r="F46" s="1454">
        <f>F44-F45</f>
        <v>1559</v>
      </c>
      <c r="G46" s="1454">
        <f>G44-G45</f>
        <v>2183</v>
      </c>
    </row>
    <row r="47" spans="1:7" ht="17.25" customHeight="1" x14ac:dyDescent="0.2">
      <c r="A47" s="723" t="s">
        <v>709</v>
      </c>
      <c r="B47" s="822"/>
      <c r="C47" s="1455">
        <f>C43+C46</f>
        <v>5416.3999999999978</v>
      </c>
      <c r="D47" s="1456">
        <f>D43+D46</f>
        <v>6166.3999999999978</v>
      </c>
      <c r="E47" s="1457">
        <f>E43+E46</f>
        <v>7166.3999999999978</v>
      </c>
      <c r="F47" s="1458">
        <f>F43+F46</f>
        <v>8725.3999999999978</v>
      </c>
      <c r="G47" s="1458">
        <f>G43+G46</f>
        <v>10908.399999999998</v>
      </c>
    </row>
    <row r="48" spans="1:7" ht="17.25" customHeight="1" x14ac:dyDescent="0.2">
      <c r="A48" s="728"/>
      <c r="B48" s="725"/>
      <c r="C48" s="1467"/>
      <c r="D48" s="1460"/>
      <c r="E48" s="1461"/>
      <c r="F48" s="1462"/>
      <c r="G48" s="1462"/>
    </row>
    <row r="49" spans="1:7" ht="17.25" customHeight="1" x14ac:dyDescent="0.2">
      <c r="A49" s="730" t="s">
        <v>716</v>
      </c>
      <c r="B49" s="819"/>
      <c r="C49" s="1438" t="str">
        <f>C1</f>
        <v>2015-2016</v>
      </c>
      <c r="D49" s="1439" t="str">
        <f>D1</f>
        <v>2016-2017</v>
      </c>
      <c r="E49" s="1440" t="str">
        <f>E1</f>
        <v>2017-2018</v>
      </c>
      <c r="F49" s="1441" t="str">
        <f>F1</f>
        <v>2018-2019</v>
      </c>
      <c r="G49" s="1441" t="str">
        <f>G1</f>
        <v>2019-2020</v>
      </c>
    </row>
    <row r="50" spans="1:7" ht="17.25" customHeight="1" x14ac:dyDescent="0.2">
      <c r="A50" s="731" t="s">
        <v>907</v>
      </c>
      <c r="B50" s="820"/>
      <c r="C50" s="1443" t="str">
        <f>+C42</f>
        <v>Actual</v>
      </c>
      <c r="D50" s="1444" t="s">
        <v>704</v>
      </c>
      <c r="E50" s="1445" t="s">
        <v>704</v>
      </c>
      <c r="F50" s="1446" t="s">
        <v>704</v>
      </c>
      <c r="G50" s="1446" t="s">
        <v>704</v>
      </c>
    </row>
    <row r="51" spans="1:7" ht="17.25" customHeight="1" x14ac:dyDescent="0.2">
      <c r="A51" s="726" t="s">
        <v>705</v>
      </c>
      <c r="B51" s="824"/>
      <c r="C51" s="1463">
        <v>438683.89</v>
      </c>
      <c r="D51" s="1464">
        <f>C55</f>
        <v>574377.69999999995</v>
      </c>
      <c r="E51" s="1465">
        <f>D55</f>
        <v>61433.699999999953</v>
      </c>
      <c r="F51" s="1466">
        <f>E55</f>
        <v>263433.69999999995</v>
      </c>
      <c r="G51" s="1466">
        <f>F55</f>
        <v>467453.69999999995</v>
      </c>
    </row>
    <row r="52" spans="1:7" ht="17.25" customHeight="1" x14ac:dyDescent="0.2">
      <c r="A52" s="719" t="s">
        <v>706</v>
      </c>
      <c r="B52" s="718"/>
      <c r="C52" s="1451">
        <v>403049.7</v>
      </c>
      <c r="D52" s="1452">
        <v>493517</v>
      </c>
      <c r="E52" s="1453">
        <v>202000</v>
      </c>
      <c r="F52" s="1454">
        <f>+ROUNDUP(E52*(1+1%),0)</f>
        <v>204020</v>
      </c>
      <c r="G52" s="1454">
        <f>+ROUNDUP(F52*(1+1%),0)</f>
        <v>206061</v>
      </c>
    </row>
    <row r="53" spans="1:7" ht="17.25" customHeight="1" x14ac:dyDescent="0.2">
      <c r="A53" s="719" t="s">
        <v>707</v>
      </c>
      <c r="B53" s="718"/>
      <c r="C53" s="1451">
        <v>267355.89</v>
      </c>
      <c r="D53" s="1452">
        <v>1006461</v>
      </c>
      <c r="E53" s="1453">
        <v>0</v>
      </c>
      <c r="F53" s="1454">
        <f>+ROUNDUP(E53*(1+'MYP Assumptions'!$F$72),0)</f>
        <v>0</v>
      </c>
      <c r="G53" s="1454">
        <f>+ROUNDUP(F53*(1+'MYP Assumptions'!$G$72),0)</f>
        <v>0</v>
      </c>
    </row>
    <row r="54" spans="1:7" ht="17.25" customHeight="1" x14ac:dyDescent="0.2">
      <c r="A54" s="720" t="s">
        <v>708</v>
      </c>
      <c r="B54" s="718"/>
      <c r="C54" s="1451">
        <f>C52-C53</f>
        <v>135693.81</v>
      </c>
      <c r="D54" s="1452">
        <f>D52-D53</f>
        <v>-512944</v>
      </c>
      <c r="E54" s="1453">
        <f>E52-E53</f>
        <v>202000</v>
      </c>
      <c r="F54" s="1454">
        <f>F52-F53</f>
        <v>204020</v>
      </c>
      <c r="G54" s="1454">
        <f>G52-G53</f>
        <v>206061</v>
      </c>
    </row>
    <row r="55" spans="1:7" ht="17.25" customHeight="1" x14ac:dyDescent="0.2">
      <c r="A55" s="723" t="s">
        <v>709</v>
      </c>
      <c r="B55" s="822"/>
      <c r="C55" s="1455">
        <f>C51+C54</f>
        <v>574377.69999999995</v>
      </c>
      <c r="D55" s="1456">
        <f>D51+D54</f>
        <v>61433.699999999953</v>
      </c>
      <c r="E55" s="1457">
        <f>E51+E54</f>
        <v>263433.69999999995</v>
      </c>
      <c r="F55" s="1458">
        <f>F51+F54</f>
        <v>467453.69999999995</v>
      </c>
      <c r="G55" s="1458">
        <f>G51+G54</f>
        <v>673514.7</v>
      </c>
    </row>
    <row r="56" spans="1:7" ht="17.25" customHeight="1" x14ac:dyDescent="0.2">
      <c r="A56" s="728"/>
      <c r="B56" s="725"/>
      <c r="C56" s="1467"/>
      <c r="D56" s="1460"/>
      <c r="E56" s="1461"/>
      <c r="F56" s="1462"/>
      <c r="G56" s="1462"/>
    </row>
    <row r="57" spans="1:7" ht="17.25" customHeight="1" x14ac:dyDescent="0.2">
      <c r="A57" s="730" t="s">
        <v>717</v>
      </c>
      <c r="B57" s="819"/>
      <c r="C57" s="1438" t="str">
        <f>C1</f>
        <v>2015-2016</v>
      </c>
      <c r="D57" s="1439" t="str">
        <f>D1</f>
        <v>2016-2017</v>
      </c>
      <c r="E57" s="1440" t="str">
        <f>E1</f>
        <v>2017-2018</v>
      </c>
      <c r="F57" s="1441" t="str">
        <f>F1</f>
        <v>2018-2019</v>
      </c>
      <c r="G57" s="1441" t="str">
        <f>G1</f>
        <v>2019-2020</v>
      </c>
    </row>
    <row r="58" spans="1:7" ht="17.25" customHeight="1" x14ac:dyDescent="0.2">
      <c r="A58" s="731" t="s">
        <v>908</v>
      </c>
      <c r="B58" s="820"/>
      <c r="C58" s="1443" t="str">
        <f>+C50</f>
        <v>Actual</v>
      </c>
      <c r="D58" s="1444" t="s">
        <v>704</v>
      </c>
      <c r="E58" s="1445" t="s">
        <v>704</v>
      </c>
      <c r="F58" s="1446" t="s">
        <v>704</v>
      </c>
      <c r="G58" s="1446" t="s">
        <v>704</v>
      </c>
    </row>
    <row r="59" spans="1:7" ht="17.25" customHeight="1" x14ac:dyDescent="0.2">
      <c r="A59" s="726" t="s">
        <v>705</v>
      </c>
      <c r="B59" s="824"/>
      <c r="C59" s="1463">
        <v>557843.54</v>
      </c>
      <c r="D59" s="1464">
        <f>C63</f>
        <v>767770.3600000001</v>
      </c>
      <c r="E59" s="1465">
        <f>D63</f>
        <v>776917.3600000001</v>
      </c>
      <c r="F59" s="1466">
        <f>E63</f>
        <v>772478.3600000001</v>
      </c>
      <c r="G59" s="1466">
        <f>F63</f>
        <v>777229.3600000001</v>
      </c>
    </row>
    <row r="60" spans="1:7" ht="17.25" customHeight="1" x14ac:dyDescent="0.2">
      <c r="A60" s="719" t="s">
        <v>706</v>
      </c>
      <c r="B60" s="718"/>
      <c r="C60" s="1451">
        <v>939081.73</v>
      </c>
      <c r="D60" s="1452">
        <v>803000</v>
      </c>
      <c r="E60" s="1453">
        <v>803000</v>
      </c>
      <c r="F60" s="1454">
        <f>ROUND(+E60*(1+'MYP Assumptions'!$F$44),0)</f>
        <v>820265</v>
      </c>
      <c r="G60" s="1454">
        <f>ROUND(+F60*(1+'MYP Assumptions'!$G$44),0)</f>
        <v>839541</v>
      </c>
    </row>
    <row r="61" spans="1:7" ht="17.25" customHeight="1" x14ac:dyDescent="0.2">
      <c r="A61" s="719" t="s">
        <v>707</v>
      </c>
      <c r="B61" s="718"/>
      <c r="C61" s="1451">
        <v>729154.90999999992</v>
      </c>
      <c r="D61" s="1452">
        <v>793853</v>
      </c>
      <c r="E61" s="1453">
        <v>807439</v>
      </c>
      <c r="F61" s="1454">
        <f>+ROUNDUP(E61*(1+1%),0)</f>
        <v>815514</v>
      </c>
      <c r="G61" s="1454">
        <f>+ROUNDUP(F61*(1+3%),0)</f>
        <v>839980</v>
      </c>
    </row>
    <row r="62" spans="1:7" ht="17.25" customHeight="1" x14ac:dyDescent="0.2">
      <c r="A62" s="720" t="s">
        <v>708</v>
      </c>
      <c r="B62" s="718"/>
      <c r="C62" s="1451">
        <f>C60-C61</f>
        <v>209926.82000000007</v>
      </c>
      <c r="D62" s="1452">
        <f>D60-D61</f>
        <v>9147</v>
      </c>
      <c r="E62" s="1453">
        <f>E60-E61</f>
        <v>-4439</v>
      </c>
      <c r="F62" s="1454">
        <f>F60-F61</f>
        <v>4751</v>
      </c>
      <c r="G62" s="1454">
        <f>G60-G61</f>
        <v>-439</v>
      </c>
    </row>
    <row r="63" spans="1:7" ht="17.25" customHeight="1" x14ac:dyDescent="0.2">
      <c r="A63" s="723" t="s">
        <v>709</v>
      </c>
      <c r="B63" s="822"/>
      <c r="C63" s="1455">
        <f>C59+C62</f>
        <v>767770.3600000001</v>
      </c>
      <c r="D63" s="1456">
        <f>D59+D62</f>
        <v>776917.3600000001</v>
      </c>
      <c r="E63" s="1457">
        <f>E59+E62</f>
        <v>772478.3600000001</v>
      </c>
      <c r="F63" s="1458">
        <f>F59+F62</f>
        <v>777229.3600000001</v>
      </c>
      <c r="G63" s="1458">
        <f>G59+G62</f>
        <v>776790.3600000001</v>
      </c>
    </row>
    <row r="64" spans="1:7" ht="17.25" customHeight="1" x14ac:dyDescent="0.2">
      <c r="A64" s="724"/>
      <c r="B64" s="725"/>
      <c r="C64" s="1467"/>
      <c r="D64" s="1460"/>
      <c r="E64" s="1461"/>
      <c r="F64" s="1462"/>
      <c r="G64" s="1462"/>
    </row>
    <row r="65" spans="1:8" ht="17.25" customHeight="1" x14ac:dyDescent="0.2">
      <c r="A65" s="730" t="s">
        <v>718</v>
      </c>
      <c r="B65" s="819"/>
      <c r="C65" s="1438" t="str">
        <f>C1</f>
        <v>2015-2016</v>
      </c>
      <c r="D65" s="1439" t="str">
        <f>D1</f>
        <v>2016-2017</v>
      </c>
      <c r="E65" s="1440" t="str">
        <f>E1</f>
        <v>2017-2018</v>
      </c>
      <c r="F65" s="1441" t="str">
        <f>F1</f>
        <v>2018-2019</v>
      </c>
      <c r="G65" s="1441" t="str">
        <f>G1</f>
        <v>2019-2020</v>
      </c>
    </row>
    <row r="66" spans="1:8" ht="17.25" customHeight="1" x14ac:dyDescent="0.2">
      <c r="A66" s="731" t="s">
        <v>909</v>
      </c>
      <c r="B66" s="820"/>
      <c r="C66" s="1443" t="str">
        <f>+C58</f>
        <v>Actual</v>
      </c>
      <c r="D66" s="1444" t="s">
        <v>704</v>
      </c>
      <c r="E66" s="1445" t="s">
        <v>704</v>
      </c>
      <c r="F66" s="1446" t="s">
        <v>704</v>
      </c>
      <c r="G66" s="1446" t="s">
        <v>704</v>
      </c>
    </row>
    <row r="67" spans="1:8" ht="17.25" customHeight="1" x14ac:dyDescent="0.2">
      <c r="A67" s="726" t="s">
        <v>705</v>
      </c>
      <c r="B67" s="824"/>
      <c r="C67" s="1472">
        <f>1301430-30.2</f>
        <v>1301399.8</v>
      </c>
      <c r="D67" s="1469">
        <f>C71</f>
        <v>1492602.72</v>
      </c>
      <c r="E67" s="1470">
        <f>D71</f>
        <v>1563502.72</v>
      </c>
      <c r="F67" s="1471">
        <f>E71</f>
        <v>1547665.72</v>
      </c>
      <c r="G67" s="1471">
        <f>F71</f>
        <v>1517698.72</v>
      </c>
    </row>
    <row r="68" spans="1:8" ht="17.25" customHeight="1" x14ac:dyDescent="0.2">
      <c r="A68" s="719" t="s">
        <v>706</v>
      </c>
      <c r="B68" s="718"/>
      <c r="C68" s="1473">
        <v>1324386.92</v>
      </c>
      <c r="D68" s="1452">
        <v>1310000</v>
      </c>
      <c r="E68" s="1453">
        <v>1310000</v>
      </c>
      <c r="F68" s="1454">
        <f>ROUND(+E68*(1+'MYP Assumptions'!$F$44),0)</f>
        <v>1338165</v>
      </c>
      <c r="G68" s="1454">
        <f>ROUND(+F68*(1+'MYP Assumptions'!$G$44),0)</f>
        <v>1369612</v>
      </c>
    </row>
    <row r="69" spans="1:8" ht="17.25" customHeight="1" x14ac:dyDescent="0.2">
      <c r="A69" s="719" t="s">
        <v>707</v>
      </c>
      <c r="B69" s="718"/>
      <c r="C69" s="1473">
        <v>1133184</v>
      </c>
      <c r="D69" s="1452">
        <v>1239100</v>
      </c>
      <c r="E69" s="1453">
        <v>1325837</v>
      </c>
      <c r="F69" s="1454">
        <f>+ROUNDUP(E69*(1+'MYP Assumptions'!$F$72),0)</f>
        <v>1368132</v>
      </c>
      <c r="G69" s="1454">
        <f>+ROUNDUP(F69*(1+'MYP Assumptions'!$G$72),0)</f>
        <v>1407261</v>
      </c>
    </row>
    <row r="70" spans="1:8" ht="17.25" customHeight="1" x14ac:dyDescent="0.2">
      <c r="A70" s="720" t="s">
        <v>708</v>
      </c>
      <c r="B70" s="718"/>
      <c r="C70" s="1474">
        <f>C68-C69</f>
        <v>191202.91999999993</v>
      </c>
      <c r="D70" s="1475">
        <f>D68-D69</f>
        <v>70900</v>
      </c>
      <c r="E70" s="1476">
        <f>E68-E69</f>
        <v>-15837</v>
      </c>
      <c r="F70" s="1454">
        <f>F68-F69</f>
        <v>-29967</v>
      </c>
      <c r="G70" s="1454">
        <f>G68-G69</f>
        <v>-37649</v>
      </c>
    </row>
    <row r="71" spans="1:8" ht="17.25" customHeight="1" x14ac:dyDescent="0.2">
      <c r="A71" s="727" t="s">
        <v>709</v>
      </c>
      <c r="B71" s="822"/>
      <c r="C71" s="1477">
        <f>C67+C70</f>
        <v>1492602.72</v>
      </c>
      <c r="D71" s="1478">
        <f>D67+D70</f>
        <v>1563502.72</v>
      </c>
      <c r="E71" s="1479">
        <f>E67+E70</f>
        <v>1547665.72</v>
      </c>
      <c r="F71" s="1458">
        <f>F67+F70</f>
        <v>1517698.72</v>
      </c>
      <c r="G71" s="1458">
        <f>G67+G70</f>
        <v>1480049.72</v>
      </c>
    </row>
    <row r="72" spans="1:8" ht="17.25" customHeight="1" x14ac:dyDescent="0.2">
      <c r="A72" s="724"/>
      <c r="B72" s="725"/>
      <c r="C72" s="1467"/>
      <c r="D72" s="1467"/>
      <c r="E72" s="1467"/>
      <c r="F72" s="1467"/>
      <c r="G72" s="1467"/>
      <c r="H72" s="1480"/>
    </row>
  </sheetData>
  <sheetProtection password="DBAD" sheet="1" objects="1" scenarios="1"/>
  <printOptions horizontalCentered="1" verticalCentered="1"/>
  <pageMargins left="0.25" right="0.25" top="0.5" bottom="0.31" header="0.25" footer="0.17"/>
  <pageSetup paperSize="5" scale="78" orientation="portrait" r:id="rId1"/>
  <headerFooter>
    <oddHeader>&amp;L&amp;F</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AC126"/>
  <sheetViews>
    <sheetView zoomScaleNormal="100" workbookViewId="0">
      <selection activeCell="I17" sqref="I17"/>
    </sheetView>
  </sheetViews>
  <sheetFormatPr defaultRowHeight="15" x14ac:dyDescent="0.25"/>
  <cols>
    <col min="1" max="1" width="1.7109375" style="147" customWidth="1"/>
    <col min="2" max="2" width="8.5703125" style="20" customWidth="1"/>
    <col min="3" max="3" width="18.28515625" style="441" customWidth="1"/>
    <col min="4" max="4" width="16" style="2" customWidth="1"/>
    <col min="5" max="5" width="17.7109375" style="441" customWidth="1"/>
    <col min="6" max="6" width="6" style="39" customWidth="1"/>
    <col min="7" max="7" width="9.42578125" style="52" bestFit="1" customWidth="1"/>
    <col min="8" max="8" width="13.85546875" style="123" bestFit="1" customWidth="1"/>
    <col min="9" max="9" width="26" style="446" customWidth="1"/>
    <col min="10" max="10" width="5.7109375" style="59" customWidth="1"/>
    <col min="11" max="11" width="8.7109375" style="479" bestFit="1" customWidth="1"/>
    <col min="12" max="12" width="14" style="124" bestFit="1" customWidth="1"/>
    <col min="13" max="13" width="26" style="441" customWidth="1"/>
    <col min="14" max="14" width="5.7109375" style="39" customWidth="1"/>
    <col min="15" max="15" width="9.42578125" style="479" bestFit="1" customWidth="1"/>
    <col min="16" max="16" width="14" style="2" bestFit="1" customWidth="1"/>
    <col min="17" max="17" width="24.85546875" style="441"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20" t="s">
        <v>61</v>
      </c>
      <c r="C1" s="439">
        <v>0</v>
      </c>
      <c r="D1" s="97">
        <v>0</v>
      </c>
      <c r="E1" s="454"/>
      <c r="F1" s="98"/>
      <c r="G1" s="471"/>
      <c r="H1" s="99">
        <v>0</v>
      </c>
      <c r="I1" s="454"/>
      <c r="L1" s="123">
        <v>0</v>
      </c>
      <c r="M1" s="454"/>
      <c r="P1" s="123">
        <v>0</v>
      </c>
      <c r="Q1" s="454"/>
      <c r="T1" s="86">
        <v>0</v>
      </c>
      <c r="U1" s="98"/>
      <c r="X1" s="86">
        <v>0</v>
      </c>
      <c r="Y1" s="98"/>
      <c r="AB1" s="86">
        <v>0</v>
      </c>
      <c r="AC1" s="98"/>
    </row>
    <row r="2" spans="1:29" ht="17.25" x14ac:dyDescent="0.4">
      <c r="B2" s="102" t="s">
        <v>59</v>
      </c>
      <c r="C2" s="440">
        <v>0</v>
      </c>
      <c r="D2" s="99">
        <v>0</v>
      </c>
      <c r="E2" s="454"/>
      <c r="F2" s="98"/>
      <c r="G2" s="472"/>
      <c r="H2" s="99">
        <v>0</v>
      </c>
      <c r="I2" s="454"/>
      <c r="L2" s="87">
        <v>0</v>
      </c>
      <c r="M2" s="454"/>
      <c r="P2" s="87">
        <v>0</v>
      </c>
      <c r="Q2" s="454"/>
      <c r="T2" s="87">
        <v>0</v>
      </c>
      <c r="U2" s="98"/>
      <c r="X2" s="87">
        <v>0</v>
      </c>
      <c r="Y2" s="98"/>
      <c r="AB2" s="87">
        <v>0</v>
      </c>
      <c r="AC2" s="98"/>
    </row>
    <row r="3" spans="1:29" x14ac:dyDescent="0.25">
      <c r="D3" s="425">
        <f>+SUM(D1:D2)</f>
        <v>0</v>
      </c>
      <c r="E3" s="455"/>
      <c r="F3" s="100"/>
      <c r="G3" s="83"/>
      <c r="H3" s="425">
        <f>+SUM(H1:H2)</f>
        <v>0</v>
      </c>
      <c r="I3" s="463"/>
      <c r="L3" s="123">
        <f>SUM(L1:L2)</f>
        <v>0</v>
      </c>
      <c r="M3" s="446"/>
      <c r="P3" s="123">
        <f>SUM(P1:P2)</f>
        <v>0</v>
      </c>
      <c r="Q3" s="446"/>
      <c r="T3" s="86">
        <f>SUM(T1:T2)</f>
        <v>0</v>
      </c>
      <c r="U3" s="51"/>
      <c r="X3" s="86">
        <f>SUM(X1:X2)</f>
        <v>0</v>
      </c>
      <c r="Y3" s="51"/>
      <c r="AB3" s="86">
        <f>SUM(AB1:AB2)</f>
        <v>0</v>
      </c>
      <c r="AC3" s="51"/>
    </row>
    <row r="4" spans="1:29" x14ac:dyDescent="0.25">
      <c r="L4" s="123"/>
      <c r="M4" s="446"/>
      <c r="P4" s="123"/>
      <c r="Q4" s="446"/>
      <c r="T4" s="86"/>
      <c r="U4" s="51"/>
      <c r="X4" s="86"/>
      <c r="Y4" s="51"/>
      <c r="AB4" s="86"/>
      <c r="AC4" s="51"/>
    </row>
    <row r="5" spans="1:29" ht="15.75" x14ac:dyDescent="0.25">
      <c r="B5" s="101" t="s">
        <v>56</v>
      </c>
      <c r="P5" s="124"/>
      <c r="T5" s="73"/>
      <c r="X5" s="73"/>
      <c r="AB5" s="73"/>
    </row>
    <row r="6" spans="1:29" s="89" customFormat="1" ht="15.75" x14ac:dyDescent="0.25">
      <c r="A6" s="148"/>
      <c r="B6" s="442"/>
      <c r="C6" s="442"/>
      <c r="D6" s="385" t="s">
        <v>55</v>
      </c>
      <c r="E6" s="456"/>
      <c r="G6" s="473"/>
      <c r="H6" s="426" t="str">
        <f>LEFT(D6,4)+1&amp;"-"&amp;RIGHT(D6,4)+1</f>
        <v>2017-2018</v>
      </c>
      <c r="I6" s="464"/>
      <c r="J6" s="93"/>
      <c r="K6" s="480"/>
      <c r="L6" s="125" t="str">
        <f>LEFT(H6,4)+1&amp;"-"&amp;RIGHT(H6,4)+1</f>
        <v>2018-2019</v>
      </c>
      <c r="M6" s="466"/>
      <c r="N6" s="96"/>
      <c r="O6" s="483"/>
      <c r="P6" s="125" t="str">
        <f>LEFT(L6,4)+1&amp;"-"&amp;RIGHT(L6,4)+1</f>
        <v>2019-2020</v>
      </c>
      <c r="Q6" s="46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21" t="s">
        <v>54</v>
      </c>
      <c r="D7" s="2">
        <v>0</v>
      </c>
      <c r="E7" s="457"/>
      <c r="H7" s="2">
        <f>D89</f>
        <v>0</v>
      </c>
      <c r="I7" s="457"/>
      <c r="J7" s="60"/>
      <c r="L7" s="2">
        <f>H89</f>
        <v>0</v>
      </c>
      <c r="M7" s="457"/>
      <c r="P7" s="2">
        <f>L89</f>
        <v>0</v>
      </c>
      <c r="Q7" s="457"/>
      <c r="T7" s="2">
        <f>P89</f>
        <v>0</v>
      </c>
      <c r="U7" s="105"/>
      <c r="X7" s="2">
        <f>T89</f>
        <v>0</v>
      </c>
      <c r="Y7" s="105"/>
      <c r="AB7" s="2">
        <f>X89</f>
        <v>0</v>
      </c>
      <c r="AC7" s="105"/>
    </row>
    <row r="8" spans="1:29" x14ac:dyDescent="0.25">
      <c r="E8" s="457"/>
      <c r="H8" s="2"/>
      <c r="I8" s="457"/>
      <c r="L8" s="2"/>
      <c r="M8" s="457"/>
      <c r="Q8" s="457"/>
      <c r="U8" s="105"/>
      <c r="Y8" s="105"/>
      <c r="AC8" s="105"/>
    </row>
    <row r="9" spans="1:29" x14ac:dyDescent="0.25">
      <c r="B9" s="20" t="s">
        <v>52</v>
      </c>
      <c r="C9" s="441" t="s">
        <v>53</v>
      </c>
      <c r="D9" s="2">
        <f>D3</f>
        <v>0</v>
      </c>
      <c r="E9" s="457"/>
      <c r="G9" s="83" t="str">
        <f>IF(D9=0,"0.00%",(H9-D9)/D9)</f>
        <v>0.00%</v>
      </c>
      <c r="H9" s="3">
        <f>H3</f>
        <v>0</v>
      </c>
      <c r="I9" s="457"/>
      <c r="J9" s="61"/>
      <c r="K9" s="83" t="str">
        <f>IF(H9=0,"0.00%",(L9-H9)/H9)</f>
        <v>0.00%</v>
      </c>
      <c r="L9" s="3">
        <f>L3</f>
        <v>0</v>
      </c>
      <c r="M9" s="457"/>
      <c r="O9" s="83" t="str">
        <f>IF(L9=0,"0.00%",(P9-L9)/L9)</f>
        <v>0.00%</v>
      </c>
      <c r="P9" s="3">
        <f>P3</f>
        <v>0</v>
      </c>
      <c r="Q9" s="457"/>
      <c r="S9" s="83" t="str">
        <f>IF(P9=0,"0.00%",(T9-P9)/P9)</f>
        <v>0.00%</v>
      </c>
      <c r="T9" s="3">
        <f>T3</f>
        <v>0</v>
      </c>
      <c r="U9" s="105"/>
      <c r="W9" s="83" t="str">
        <f>IF(T9=0,"0.00%",(X9-T9)/T9)</f>
        <v>0.00%</v>
      </c>
      <c r="X9" s="3">
        <f>X3</f>
        <v>0</v>
      </c>
      <c r="Y9" s="105"/>
      <c r="AA9" s="83" t="str">
        <f>IF(X9=0,"0.00%",(AB9-X9)/X9)</f>
        <v>0.00%</v>
      </c>
      <c r="AB9" s="3">
        <f>AB3</f>
        <v>0</v>
      </c>
      <c r="AC9" s="105"/>
    </row>
    <row r="10" spans="1:29" x14ac:dyDescent="0.25">
      <c r="C10" s="441" t="s">
        <v>51</v>
      </c>
      <c r="D10" s="2">
        <v>0</v>
      </c>
      <c r="E10" s="457"/>
      <c r="G10" s="83" t="str">
        <f t="shared" ref="G10:G15" si="0">IF(D10=0,"0.00%",(H10-D10)/D10)</f>
        <v>0.00%</v>
      </c>
      <c r="H10" s="3">
        <v>0</v>
      </c>
      <c r="I10" s="457"/>
      <c r="J10" s="61"/>
      <c r="K10" s="83" t="str">
        <f>IF(H10=0,"0.00%",(L10-H10)/H10)</f>
        <v>0.00%</v>
      </c>
      <c r="L10" s="3">
        <f>-H2</f>
        <v>0</v>
      </c>
      <c r="M10" s="457"/>
      <c r="O10" s="83" t="str">
        <f>IF(L10=0,"0.00%",(P10-L10)/L10)</f>
        <v>0.00%</v>
      </c>
      <c r="P10" s="3">
        <f>-L2</f>
        <v>0</v>
      </c>
      <c r="Q10" s="457"/>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21" t="s">
        <v>137</v>
      </c>
      <c r="D11" s="8">
        <f>SUM(D9:D10)</f>
        <v>0</v>
      </c>
      <c r="E11" s="457"/>
      <c r="G11" s="83" t="str">
        <f t="shared" si="0"/>
        <v>0.00%</v>
      </c>
      <c r="H11" s="8">
        <f>SUM(H9:H10)</f>
        <v>0</v>
      </c>
      <c r="I11" s="457"/>
      <c r="J11" s="62"/>
      <c r="K11" s="83" t="str">
        <f>IF(H11=0,"0.00%",(L11-H11)/H11)</f>
        <v>0.00%</v>
      </c>
      <c r="L11" s="8">
        <f>SUM(L9:L10)</f>
        <v>0</v>
      </c>
      <c r="M11" s="457"/>
      <c r="O11" s="83" t="str">
        <f>IF(L11=0,"0.00%",(P11-L11)/L11)</f>
        <v>0.00%</v>
      </c>
      <c r="P11" s="8">
        <f>SUM(P9:P10)</f>
        <v>0</v>
      </c>
      <c r="Q11" s="457"/>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457"/>
      <c r="H12" s="3"/>
      <c r="I12" s="457"/>
      <c r="J12" s="63"/>
      <c r="K12" s="52"/>
      <c r="L12" s="3"/>
      <c r="M12" s="457"/>
      <c r="O12" s="52"/>
      <c r="P12" s="3"/>
      <c r="Q12" s="457"/>
      <c r="S12" s="46"/>
      <c r="T12" s="44"/>
      <c r="U12" s="105"/>
      <c r="W12" s="46"/>
      <c r="X12" s="44"/>
      <c r="Y12" s="105"/>
      <c r="AA12" s="46"/>
      <c r="AB12" s="44"/>
      <c r="AC12" s="105"/>
    </row>
    <row r="13" spans="1:29" x14ac:dyDescent="0.25">
      <c r="B13" s="52">
        <v>3.6999999999999998E-2</v>
      </c>
      <c r="C13" s="443" t="s">
        <v>64</v>
      </c>
      <c r="D13" s="9">
        <f>ROUND(D11-(D11/(1+B13)),0)</f>
        <v>0</v>
      </c>
      <c r="E13" s="457"/>
      <c r="G13" s="83" t="str">
        <f t="shared" si="0"/>
        <v>0.00%</v>
      </c>
      <c r="H13" s="9">
        <f>ROUND(H11-(H11/(1+B13)),0)</f>
        <v>0</v>
      </c>
      <c r="I13" s="457"/>
      <c r="J13" s="64"/>
      <c r="K13" s="83" t="str">
        <f>IF(H13=0,"0.00%",(L13-H13)/H13)</f>
        <v>0.00%</v>
      </c>
      <c r="L13" s="9">
        <f>ROUND(L11-(L11/(1+B13)),0)</f>
        <v>0</v>
      </c>
      <c r="M13" s="457"/>
      <c r="O13" s="83" t="str">
        <f>IF(L13=0,"0.00%",(P13-L13)/L13)</f>
        <v>0.00%</v>
      </c>
      <c r="P13" s="9">
        <f>ROUND(P11-(P11/(1+B13)),0)</f>
        <v>0</v>
      </c>
      <c r="Q13" s="457"/>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457"/>
      <c r="H14" s="3"/>
      <c r="I14" s="457"/>
      <c r="J14" s="63"/>
      <c r="K14" s="52"/>
      <c r="L14" s="3"/>
      <c r="M14" s="457"/>
      <c r="O14" s="52"/>
      <c r="P14" s="3"/>
      <c r="Q14" s="457"/>
      <c r="S14" s="46"/>
      <c r="T14" s="44"/>
      <c r="U14" s="105"/>
      <c r="W14" s="46"/>
      <c r="X14" s="44"/>
      <c r="Y14" s="105"/>
      <c r="AA14" s="46"/>
      <c r="AB14" s="44"/>
      <c r="AC14" s="105"/>
    </row>
    <row r="15" spans="1:29" x14ac:dyDescent="0.25">
      <c r="B15" s="21" t="s">
        <v>50</v>
      </c>
      <c r="D15" s="10">
        <f>D11-D13</f>
        <v>0</v>
      </c>
      <c r="E15" s="457"/>
      <c r="G15" s="83" t="str">
        <f t="shared" si="0"/>
        <v>0.00%</v>
      </c>
      <c r="H15" s="9">
        <f>H11-H13</f>
        <v>0</v>
      </c>
      <c r="I15" s="457"/>
      <c r="J15" s="62"/>
      <c r="K15" s="83" t="str">
        <f>IF(H15=0,"0.00%",(L15-H15)/H15)</f>
        <v>0.00%</v>
      </c>
      <c r="L15" s="9">
        <f>L11-L13</f>
        <v>0</v>
      </c>
      <c r="M15" s="457"/>
      <c r="O15" s="83" t="str">
        <f>IF(L15=0,"0.00%",(P15-L15)/L15)</f>
        <v>0.00%</v>
      </c>
      <c r="P15" s="9">
        <f>P11-P13</f>
        <v>0</v>
      </c>
      <c r="Q15" s="457"/>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457"/>
      <c r="H16" s="3"/>
      <c r="I16" s="457"/>
      <c r="J16" s="62"/>
      <c r="L16" s="3"/>
      <c r="M16" s="457"/>
      <c r="P16" s="3"/>
      <c r="Q16" s="457"/>
      <c r="T16" s="49"/>
      <c r="U16" s="105"/>
      <c r="X16" s="49"/>
      <c r="Y16" s="105"/>
      <c r="AB16" s="49"/>
      <c r="AC16" s="105"/>
    </row>
    <row r="17" spans="1:29" x14ac:dyDescent="0.25">
      <c r="C17" s="20"/>
      <c r="E17" s="457"/>
      <c r="H17" s="3"/>
      <c r="I17" s="457"/>
      <c r="J17" s="63"/>
      <c r="L17" s="3"/>
      <c r="M17" s="457"/>
      <c r="P17" s="3"/>
      <c r="Q17" s="457"/>
      <c r="T17" s="44"/>
      <c r="U17" s="105"/>
      <c r="X17" s="44"/>
      <c r="Y17" s="105"/>
      <c r="AB17" s="44"/>
      <c r="AC17" s="105"/>
    </row>
    <row r="18" spans="1:29" x14ac:dyDescent="0.25">
      <c r="A18" s="149"/>
      <c r="D18" s="29" t="s">
        <v>177</v>
      </c>
      <c r="E18" s="451"/>
      <c r="F18" s="32"/>
      <c r="I18" s="451"/>
      <c r="J18" s="65"/>
      <c r="M18" s="451"/>
      <c r="Q18" s="451"/>
      <c r="U18" s="106"/>
      <c r="Y18" s="106"/>
      <c r="AC18" s="106"/>
    </row>
    <row r="19" spans="1:29" ht="17.25" x14ac:dyDescent="0.4">
      <c r="A19" s="150"/>
      <c r="D19" s="35" t="s">
        <v>48</v>
      </c>
      <c r="E19" s="452"/>
      <c r="F19" s="34"/>
      <c r="H19" s="14" t="s">
        <v>48</v>
      </c>
      <c r="I19" s="104">
        <v>0.02</v>
      </c>
      <c r="J19" s="29"/>
      <c r="L19" s="14" t="s">
        <v>48</v>
      </c>
      <c r="M19" s="104">
        <v>0.02</v>
      </c>
      <c r="P19" s="14" t="s">
        <v>48</v>
      </c>
      <c r="Q19" s="104">
        <v>0.02</v>
      </c>
      <c r="T19" s="14" t="s">
        <v>48</v>
      </c>
      <c r="U19" s="104">
        <v>0.02</v>
      </c>
      <c r="X19" s="14" t="s">
        <v>48</v>
      </c>
      <c r="Y19" s="104">
        <v>0.02</v>
      </c>
      <c r="AB19" s="14" t="s">
        <v>48</v>
      </c>
      <c r="AC19" s="104">
        <v>0.02</v>
      </c>
    </row>
    <row r="20" spans="1:29" s="13" customFormat="1" x14ac:dyDescent="0.25">
      <c r="A20" s="151"/>
      <c r="B20" s="21" t="s">
        <v>46</v>
      </c>
      <c r="C20" s="443"/>
      <c r="D20" s="10"/>
      <c r="E20" s="436"/>
      <c r="F20" s="10"/>
      <c r="G20" s="474"/>
      <c r="H20" s="10"/>
      <c r="I20" s="437"/>
      <c r="J20" s="57"/>
      <c r="K20" s="481"/>
      <c r="L20" s="10"/>
      <c r="M20" s="467"/>
      <c r="O20" s="481"/>
      <c r="P20" s="10"/>
      <c r="Q20" s="467"/>
      <c r="R20" s="111"/>
      <c r="T20" s="10"/>
      <c r="U20" s="74"/>
      <c r="X20" s="10"/>
      <c r="Y20" s="74"/>
      <c r="AB20" s="10"/>
      <c r="AC20" s="74"/>
    </row>
    <row r="21" spans="1:29" x14ac:dyDescent="0.25">
      <c r="A21" s="152"/>
      <c r="B21" s="12"/>
      <c r="D21" s="2">
        <v>0</v>
      </c>
      <c r="E21" s="435"/>
      <c r="F21" s="2"/>
      <c r="G21" s="83" t="str">
        <f t="shared" ref="G21:G30" si="1">IF(D21=0,"0.00%",(H21-D21)/D21)</f>
        <v>0.00%</v>
      </c>
      <c r="H21" s="2">
        <f t="shared" ref="H21:H27" si="2">ROUND(D21*(1+$I$19),0)</f>
        <v>0</v>
      </c>
      <c r="I21" s="484" t="str">
        <f t="shared" ref="I21:I28" si="3">TEXT($I$19,"0.0%")&amp;" = Est. S &amp; C"</f>
        <v>2.0% = Est. S &amp; C</v>
      </c>
      <c r="J21" s="66"/>
      <c r="K21" s="83" t="str">
        <f t="shared" ref="K21:K27" si="4">IF(H21=0,"0.00%",(L21-H21)/H21)</f>
        <v>0.00%</v>
      </c>
      <c r="L21" s="2">
        <f>ROUND(H21*(1+M19),0)</f>
        <v>0</v>
      </c>
      <c r="M21" s="438" t="str">
        <f>TEXT(M19,"0.0%")&amp;" = Est. S &amp; C"</f>
        <v>2.0% = Est. S &amp; C</v>
      </c>
      <c r="O21" s="83" t="str">
        <f t="shared" ref="O21:O27" si="5">IF(L21=0,"0.00%",(P21-L21)/L21)</f>
        <v>0.00%</v>
      </c>
      <c r="P21" s="2">
        <f>ROUND(L21*(1+Q19),0)</f>
        <v>0</v>
      </c>
      <c r="Q21" s="438"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x14ac:dyDescent="0.25">
      <c r="A22" s="153"/>
      <c r="B22" s="12"/>
      <c r="D22" s="2">
        <v>0</v>
      </c>
      <c r="E22" s="435"/>
      <c r="F22" s="2"/>
      <c r="G22" s="83" t="str">
        <f t="shared" si="1"/>
        <v>0.00%</v>
      </c>
      <c r="H22" s="2">
        <f t="shared" si="2"/>
        <v>0</v>
      </c>
      <c r="I22" s="438" t="str">
        <f t="shared" si="3"/>
        <v>2.0% = Est. S &amp; C</v>
      </c>
      <c r="J22" s="66"/>
      <c r="K22" s="83" t="str">
        <f t="shared" si="4"/>
        <v>0.00%</v>
      </c>
      <c r="L22" s="2">
        <f>ROUND(H22*(1+M19),0)</f>
        <v>0</v>
      </c>
      <c r="M22" s="438" t="str">
        <f>TEXT(M19,"0.0%")&amp;" = Est. S &amp; C"</f>
        <v>2.0% = Est. S &amp; C</v>
      </c>
      <c r="O22" s="83" t="str">
        <f t="shared" si="5"/>
        <v>0.00%</v>
      </c>
      <c r="P22" s="2">
        <f>ROUND(L22*(1+Q19),0)</f>
        <v>0</v>
      </c>
      <c r="Q22" s="438"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x14ac:dyDescent="0.25">
      <c r="A23" s="153"/>
      <c r="B23" s="12"/>
      <c r="D23" s="2">
        <v>0</v>
      </c>
      <c r="E23" s="435"/>
      <c r="F23" s="2"/>
      <c r="G23" s="83" t="str">
        <f t="shared" si="1"/>
        <v>0.00%</v>
      </c>
      <c r="H23" s="2">
        <f t="shared" si="2"/>
        <v>0</v>
      </c>
      <c r="I23" s="438" t="str">
        <f t="shared" si="3"/>
        <v>2.0% = Est. S &amp; C</v>
      </c>
      <c r="J23" s="66"/>
      <c r="K23" s="83" t="str">
        <f t="shared" si="4"/>
        <v>0.00%</v>
      </c>
      <c r="L23" s="2">
        <f>ROUND(H23*(1+M19),0)</f>
        <v>0</v>
      </c>
      <c r="M23" s="438" t="str">
        <f>TEXT(M19,"0.0%")&amp;" = Est. S &amp; C"</f>
        <v>2.0% = Est. S &amp; C</v>
      </c>
      <c r="O23" s="83" t="str">
        <f t="shared" si="5"/>
        <v>0.00%</v>
      </c>
      <c r="P23" s="2">
        <f>ROUND(L23*(1+Q19),0)</f>
        <v>0</v>
      </c>
      <c r="Q23" s="438"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x14ac:dyDescent="0.25">
      <c r="A24" s="153"/>
      <c r="B24" s="12"/>
      <c r="D24" s="2">
        <v>0</v>
      </c>
      <c r="E24" s="435"/>
      <c r="F24" s="2"/>
      <c r="G24" s="83" t="str">
        <f t="shared" si="1"/>
        <v>0.00%</v>
      </c>
      <c r="H24" s="2">
        <f t="shared" si="2"/>
        <v>0</v>
      </c>
      <c r="I24" s="438" t="str">
        <f t="shared" si="3"/>
        <v>2.0% = Est. S &amp; C</v>
      </c>
      <c r="J24" s="66"/>
      <c r="K24" s="83" t="str">
        <f t="shared" si="4"/>
        <v>0.00%</v>
      </c>
      <c r="L24" s="2">
        <f>ROUND(H24*(1+M19),0)</f>
        <v>0</v>
      </c>
      <c r="M24" s="438" t="str">
        <f>TEXT(M19,"0.0%")&amp;" = Est. S &amp; C"</f>
        <v>2.0% = Est. S &amp; C</v>
      </c>
      <c r="O24" s="83" t="str">
        <f t="shared" si="5"/>
        <v>0.00%</v>
      </c>
      <c r="P24" s="2">
        <f>ROUND(L24*(1+Q19),0)</f>
        <v>0</v>
      </c>
      <c r="Q24" s="438"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x14ac:dyDescent="0.25">
      <c r="A25" s="153"/>
      <c r="B25" s="12"/>
      <c r="D25" s="2">
        <v>0</v>
      </c>
      <c r="E25" s="435"/>
      <c r="F25" s="2"/>
      <c r="G25" s="83" t="str">
        <f t="shared" si="1"/>
        <v>0.00%</v>
      </c>
      <c r="H25" s="2">
        <f t="shared" si="2"/>
        <v>0</v>
      </c>
      <c r="I25" s="438" t="str">
        <f t="shared" si="3"/>
        <v>2.0% = Est. S &amp; C</v>
      </c>
      <c r="J25" s="66"/>
      <c r="K25" s="83" t="str">
        <f t="shared" si="4"/>
        <v>0.00%</v>
      </c>
      <c r="L25" s="2">
        <f>ROUND(H25*(1+M19),0)</f>
        <v>0</v>
      </c>
      <c r="M25" s="438" t="str">
        <f>TEXT(M19,"0.0%")&amp;" = Est. S &amp; C"</f>
        <v>2.0% = Est. S &amp; C</v>
      </c>
      <c r="O25" s="83" t="str">
        <f t="shared" si="5"/>
        <v>0.00%</v>
      </c>
      <c r="P25" s="2">
        <f>ROUND(L25*(1+Q19),0)</f>
        <v>0</v>
      </c>
      <c r="Q25" s="438"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x14ac:dyDescent="0.25">
      <c r="A26" s="153"/>
      <c r="B26" s="12"/>
      <c r="D26" s="2">
        <v>0</v>
      </c>
      <c r="E26" s="435"/>
      <c r="F26" s="2"/>
      <c r="G26" s="83" t="str">
        <f t="shared" si="1"/>
        <v>0.00%</v>
      </c>
      <c r="H26" s="2">
        <f t="shared" si="2"/>
        <v>0</v>
      </c>
      <c r="I26" s="438" t="str">
        <f t="shared" si="3"/>
        <v>2.0% = Est. S &amp; C</v>
      </c>
      <c r="J26" s="66"/>
      <c r="K26" s="83" t="str">
        <f t="shared" si="4"/>
        <v>0.00%</v>
      </c>
      <c r="L26" s="2">
        <f>ROUND(H26*(1+M19),0)</f>
        <v>0</v>
      </c>
      <c r="M26" s="438" t="str">
        <f>TEXT(M19,"0.0%")&amp;" = Est. S &amp; C"</f>
        <v>2.0% = Est. S &amp; C</v>
      </c>
      <c r="O26" s="83" t="str">
        <f t="shared" si="5"/>
        <v>0.00%</v>
      </c>
      <c r="P26" s="2">
        <f>ROUND(L26*(1+Q19),0)</f>
        <v>0</v>
      </c>
      <c r="Q26" s="438"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x14ac:dyDescent="0.25">
      <c r="A27" s="153"/>
      <c r="B27" s="12"/>
      <c r="D27" s="2">
        <v>0</v>
      </c>
      <c r="E27" s="435"/>
      <c r="F27" s="2"/>
      <c r="G27" s="83" t="str">
        <f t="shared" si="1"/>
        <v>0.00%</v>
      </c>
      <c r="H27" s="2">
        <f t="shared" si="2"/>
        <v>0</v>
      </c>
      <c r="I27" s="438" t="str">
        <f t="shared" si="3"/>
        <v>2.0% = Est. S &amp; C</v>
      </c>
      <c r="J27" s="66"/>
      <c r="K27" s="83" t="str">
        <f t="shared" si="4"/>
        <v>0.00%</v>
      </c>
      <c r="L27" s="2">
        <f>ROUND(H27*(1+M19),0)</f>
        <v>0</v>
      </c>
      <c r="M27" s="438" t="str">
        <f>TEXT(M19,"0.0%")&amp;" = Est. S &amp; C"</f>
        <v>2.0% = Est. S &amp; C</v>
      </c>
      <c r="O27" s="83" t="str">
        <f t="shared" si="5"/>
        <v>0.00%</v>
      </c>
      <c r="P27" s="2">
        <f>ROUND(L27*(1+Q19),0)</f>
        <v>0</v>
      </c>
      <c r="Q27" s="438"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x14ac:dyDescent="0.25">
      <c r="A28" s="153"/>
      <c r="B28" s="12"/>
      <c r="D28" s="2">
        <v>0</v>
      </c>
      <c r="E28" s="435"/>
      <c r="F28" s="2"/>
      <c r="G28" s="83" t="str">
        <f>IF(D28=0,"0.00%",(H28-D28)/D28)</f>
        <v>0.00%</v>
      </c>
      <c r="H28" s="2">
        <f>ROUND(D28*(1+$I$19),0)</f>
        <v>0</v>
      </c>
      <c r="I28" s="438" t="str">
        <f t="shared" si="3"/>
        <v>2.0% = Est. S &amp; C</v>
      </c>
      <c r="J28" s="66"/>
      <c r="K28" s="83" t="str">
        <f>IF(H28=0,"0.00%",(L28-H28)/H28)</f>
        <v>0.00%</v>
      </c>
      <c r="L28" s="2">
        <f>ROUND(H28*(1+M20),0)</f>
        <v>0</v>
      </c>
      <c r="M28" s="438" t="str">
        <f>TEXT(M20,"0.0%")&amp;" = Est. S &amp; C"</f>
        <v>0.0% = Est. S &amp; C</v>
      </c>
      <c r="O28" s="83" t="str">
        <f>IF(L28=0,"0.00%",(P28-L28)/L28)</f>
        <v>0.00%</v>
      </c>
      <c r="P28" s="2">
        <f>ROUND(L28*(1+Q20),0)</f>
        <v>0</v>
      </c>
      <c r="Q28" s="438"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customHeight="1" x14ac:dyDescent="0.25">
      <c r="A29" s="153"/>
      <c r="B29" s="12"/>
      <c r="E29" s="435"/>
      <c r="F29" s="2"/>
      <c r="G29" s="83"/>
      <c r="H29" s="2"/>
      <c r="I29" s="438"/>
      <c r="J29" s="66"/>
      <c r="L29" s="2"/>
      <c r="M29" s="468"/>
      <c r="Q29" s="468"/>
      <c r="T29" s="2"/>
      <c r="U29" s="73"/>
      <c r="X29" s="2"/>
      <c r="Y29" s="73"/>
      <c r="AB29" s="2"/>
      <c r="AC29" s="73"/>
    </row>
    <row r="30" spans="1:29" x14ac:dyDescent="0.25">
      <c r="A30" s="154"/>
      <c r="B30" s="12"/>
      <c r="D30" s="8">
        <f>SUM(D21:D29)</f>
        <v>0</v>
      </c>
      <c r="E30" s="435"/>
      <c r="F30" s="2"/>
      <c r="G30" s="83" t="str">
        <f t="shared" si="1"/>
        <v>0.00%</v>
      </c>
      <c r="H30" s="8">
        <f>SUM(H21:H29)</f>
        <v>0</v>
      </c>
      <c r="I30" s="461"/>
      <c r="J30" s="29"/>
      <c r="K30" s="83" t="str">
        <f>IF(H30=0,"0.00%",(L30-H30)/H30)</f>
        <v>0.00%</v>
      </c>
      <c r="L30" s="8">
        <f>SUM(L21:L29)</f>
        <v>0</v>
      </c>
      <c r="M30" s="468"/>
      <c r="O30" s="83" t="str">
        <f>IF(L30=0,"0.00%",(P30-L30)/L30)</f>
        <v>0.00%</v>
      </c>
      <c r="P30" s="8">
        <f>SUM(P21:P29)</f>
        <v>0</v>
      </c>
      <c r="Q30" s="46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3"/>
      <c r="E31" s="435"/>
      <c r="F31" s="2"/>
      <c r="H31" s="2"/>
      <c r="I31" s="81"/>
      <c r="J31" s="66"/>
      <c r="L31" s="2"/>
      <c r="M31" s="470"/>
      <c r="Q31" s="470"/>
      <c r="T31" s="2"/>
      <c r="U31" s="73"/>
      <c r="X31" s="2"/>
      <c r="Y31" s="73"/>
      <c r="AB31" s="2"/>
      <c r="AC31" s="73"/>
    </row>
    <row r="32" spans="1:29" s="4" customFormat="1" x14ac:dyDescent="0.25">
      <c r="A32" s="151"/>
      <c r="B32" s="22" t="s">
        <v>35</v>
      </c>
      <c r="C32" s="444"/>
      <c r="D32" s="6"/>
      <c r="E32" s="437"/>
      <c r="F32" s="6"/>
      <c r="G32" s="475"/>
      <c r="H32" s="6"/>
      <c r="I32" s="437"/>
      <c r="J32" s="57"/>
      <c r="K32" s="482"/>
      <c r="L32" s="6"/>
      <c r="M32" s="469"/>
      <c r="O32" s="482"/>
      <c r="P32" s="6"/>
      <c r="Q32" s="469"/>
      <c r="R32" s="111"/>
      <c r="T32" s="6"/>
      <c r="U32" s="71"/>
      <c r="X32" s="6"/>
      <c r="Y32" s="71"/>
      <c r="AB32" s="6"/>
      <c r="AC32" s="71"/>
    </row>
    <row r="33" spans="1:29" x14ac:dyDescent="0.25">
      <c r="A33" s="153"/>
      <c r="B33" s="12"/>
      <c r="D33" s="2">
        <v>0</v>
      </c>
      <c r="E33" s="435"/>
      <c r="F33" s="2"/>
      <c r="G33" s="83" t="str">
        <f t="shared" ref="G33:G39" si="9">IF(D33=0,"0.00%",(H33-D33)/D33)</f>
        <v>0.00%</v>
      </c>
      <c r="H33" s="2">
        <f t="shared" ref="H33:H39" si="10">ROUND(D33*(1+$I$19),0)</f>
        <v>0</v>
      </c>
      <c r="I33" s="438" t="str">
        <f t="shared" ref="I33:I39" si="11">TEXT($I$19,"0.0%")&amp;" = Est. S &amp; C"</f>
        <v>2.0% = Est. S &amp; C</v>
      </c>
      <c r="J33" s="66"/>
      <c r="K33" s="83" t="str">
        <f t="shared" ref="K33:K39" si="12">IF(H33=0,"0.00%",(L33-H33)/H33)</f>
        <v>0.00%</v>
      </c>
      <c r="L33" s="2">
        <f>ROUND(H33*(1+M19),0)</f>
        <v>0</v>
      </c>
      <c r="M33" s="438" t="str">
        <f>TEXT(M19,"0.0%")&amp;" = Est. S &amp; C"</f>
        <v>2.0% = Est. S &amp; C</v>
      </c>
      <c r="O33" s="83" t="str">
        <f t="shared" ref="O33:O39" si="13">IF(L33=0,"0.00%",(P33-L33)/L33)</f>
        <v>0.00%</v>
      </c>
      <c r="P33" s="2">
        <f>ROUND(L33*(1+Q19),0)</f>
        <v>0</v>
      </c>
      <c r="Q33" s="438"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x14ac:dyDescent="0.25">
      <c r="A34" s="153"/>
      <c r="B34" s="12"/>
      <c r="D34" s="2">
        <v>0</v>
      </c>
      <c r="E34" s="435"/>
      <c r="F34" s="2"/>
      <c r="G34" s="83" t="str">
        <f t="shared" si="9"/>
        <v>0.00%</v>
      </c>
      <c r="H34" s="2">
        <f t="shared" si="10"/>
        <v>0</v>
      </c>
      <c r="I34" s="438" t="str">
        <f t="shared" si="11"/>
        <v>2.0% = Est. S &amp; C</v>
      </c>
      <c r="J34" s="66"/>
      <c r="K34" s="83" t="str">
        <f t="shared" si="12"/>
        <v>0.00%</v>
      </c>
      <c r="L34" s="2">
        <f>ROUND(H34*(1+M19),0)</f>
        <v>0</v>
      </c>
      <c r="M34" s="438" t="str">
        <f>TEXT(M19,"0.0%")&amp;" = Est. S &amp; C"</f>
        <v>2.0% = Est. S &amp; C</v>
      </c>
      <c r="O34" s="83" t="str">
        <f t="shared" si="13"/>
        <v>0.00%</v>
      </c>
      <c r="P34" s="2">
        <f>ROUND(L34*(1+Q19),0)</f>
        <v>0</v>
      </c>
      <c r="Q34" s="438"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x14ac:dyDescent="0.25">
      <c r="A35" s="153"/>
      <c r="B35" s="12"/>
      <c r="D35" s="2">
        <v>0</v>
      </c>
      <c r="E35" s="435"/>
      <c r="F35" s="2"/>
      <c r="G35" s="83" t="str">
        <f t="shared" si="9"/>
        <v>0.00%</v>
      </c>
      <c r="H35" s="2">
        <f t="shared" si="10"/>
        <v>0</v>
      </c>
      <c r="I35" s="438" t="str">
        <f t="shared" si="11"/>
        <v>2.0% = Est. S &amp; C</v>
      </c>
      <c r="J35" s="66"/>
      <c r="K35" s="83" t="str">
        <f t="shared" si="12"/>
        <v>0.00%</v>
      </c>
      <c r="L35" s="2">
        <f>ROUND(H35*(1+M19),0)</f>
        <v>0</v>
      </c>
      <c r="M35" s="438" t="str">
        <f>TEXT(M19,"0.0%")&amp;" = Est. S &amp; C"</f>
        <v>2.0% = Est. S &amp; C</v>
      </c>
      <c r="O35" s="83" t="str">
        <f t="shared" si="13"/>
        <v>0.00%</v>
      </c>
      <c r="P35" s="2">
        <f>ROUND(L35*(1+Q19),0)</f>
        <v>0</v>
      </c>
      <c r="Q35" s="438"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x14ac:dyDescent="0.25">
      <c r="A36" s="153"/>
      <c r="B36" s="12"/>
      <c r="D36" s="2">
        <v>0</v>
      </c>
      <c r="E36" s="435"/>
      <c r="F36" s="2"/>
      <c r="G36" s="83" t="str">
        <f t="shared" si="9"/>
        <v>0.00%</v>
      </c>
      <c r="H36" s="2">
        <f t="shared" si="10"/>
        <v>0</v>
      </c>
      <c r="I36" s="438" t="str">
        <f t="shared" si="11"/>
        <v>2.0% = Est. S &amp; C</v>
      </c>
      <c r="J36" s="66"/>
      <c r="K36" s="83" t="str">
        <f t="shared" si="12"/>
        <v>0.00%</v>
      </c>
      <c r="L36" s="2">
        <f>ROUND(H36*(1+M19),0)</f>
        <v>0</v>
      </c>
      <c r="M36" s="438" t="str">
        <f>TEXT(M19,"0.0%")&amp;" = Est. S &amp; C"</f>
        <v>2.0% = Est. S &amp; C</v>
      </c>
      <c r="O36" s="83" t="str">
        <f t="shared" si="13"/>
        <v>0.00%</v>
      </c>
      <c r="P36" s="2">
        <f>ROUND(L36*(1+Q19),0)</f>
        <v>0</v>
      </c>
      <c r="Q36" s="438"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x14ac:dyDescent="0.25">
      <c r="A37" s="153"/>
      <c r="B37" s="12"/>
      <c r="D37" s="2">
        <v>0</v>
      </c>
      <c r="E37" s="435"/>
      <c r="F37" s="2"/>
      <c r="G37" s="83" t="str">
        <f t="shared" si="9"/>
        <v>0.00%</v>
      </c>
      <c r="H37" s="2">
        <f t="shared" si="10"/>
        <v>0</v>
      </c>
      <c r="I37" s="438" t="str">
        <f t="shared" si="11"/>
        <v>2.0% = Est. S &amp; C</v>
      </c>
      <c r="J37" s="66"/>
      <c r="K37" s="83" t="str">
        <f t="shared" si="12"/>
        <v>0.00%</v>
      </c>
      <c r="L37" s="2">
        <f>ROUND(H37*(1+M19),0)</f>
        <v>0</v>
      </c>
      <c r="M37" s="438" t="str">
        <f>TEXT(M19,"0.0%")&amp;" = Est. S &amp; C"</f>
        <v>2.0% = Est. S &amp; C</v>
      </c>
      <c r="O37" s="83" t="str">
        <f t="shared" si="13"/>
        <v>0.00%</v>
      </c>
      <c r="P37" s="2">
        <f>ROUND(L37*(1+Q19),0)</f>
        <v>0</v>
      </c>
      <c r="Q37" s="438"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x14ac:dyDescent="0.25">
      <c r="A38" s="153"/>
      <c r="B38" s="12"/>
      <c r="D38" s="2">
        <v>0</v>
      </c>
      <c r="E38" s="435"/>
      <c r="F38" s="2"/>
      <c r="G38" s="83" t="str">
        <f t="shared" si="9"/>
        <v>0.00%</v>
      </c>
      <c r="H38" s="2">
        <f t="shared" si="10"/>
        <v>0</v>
      </c>
      <c r="I38" s="438" t="str">
        <f t="shared" si="11"/>
        <v>2.0% = Est. S &amp; C</v>
      </c>
      <c r="J38" s="66"/>
      <c r="K38" s="83" t="str">
        <f t="shared" si="12"/>
        <v>0.00%</v>
      </c>
      <c r="L38" s="2">
        <f>ROUND(H38*(1+M19),0)</f>
        <v>0</v>
      </c>
      <c r="M38" s="438" t="str">
        <f>TEXT(M19,"0.0%")&amp;" = Est. S &amp; C"</f>
        <v>2.0% = Est. S &amp; C</v>
      </c>
      <c r="O38" s="83" t="str">
        <f t="shared" si="13"/>
        <v>0.00%</v>
      </c>
      <c r="P38" s="2">
        <f>ROUND(L38*(1+Q19),0)</f>
        <v>0</v>
      </c>
      <c r="Q38" s="438"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x14ac:dyDescent="0.25">
      <c r="A39" s="153"/>
      <c r="B39" s="12"/>
      <c r="D39" s="2">
        <v>0</v>
      </c>
      <c r="E39" s="435"/>
      <c r="F39" s="2"/>
      <c r="G39" s="83" t="str">
        <f t="shared" si="9"/>
        <v>0.00%</v>
      </c>
      <c r="H39" s="2">
        <f t="shared" si="10"/>
        <v>0</v>
      </c>
      <c r="I39" s="438" t="str">
        <f t="shared" si="11"/>
        <v>2.0% = Est. S &amp; C</v>
      </c>
      <c r="J39" s="66"/>
      <c r="K39" s="83" t="str">
        <f t="shared" si="12"/>
        <v>0.00%</v>
      </c>
      <c r="L39" s="2">
        <f>ROUND(H39*(1+M19),0)</f>
        <v>0</v>
      </c>
      <c r="M39" s="438" t="str">
        <f>TEXT(M19,"0.0%")&amp;" = Est. S &amp; C"</f>
        <v>2.0% = Est. S &amp; C</v>
      </c>
      <c r="O39" s="83" t="str">
        <f t="shared" si="13"/>
        <v>0.00%</v>
      </c>
      <c r="P39" s="2">
        <f>ROUND(L39*(1+Q19),0)</f>
        <v>0</v>
      </c>
      <c r="Q39" s="438"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customHeight="1" x14ac:dyDescent="0.25">
      <c r="A40" s="153"/>
      <c r="B40" s="12"/>
      <c r="E40" s="435"/>
      <c r="F40" s="2"/>
      <c r="H40" s="2"/>
      <c r="I40" s="438"/>
      <c r="J40" s="66"/>
      <c r="L40" s="2"/>
      <c r="M40" s="468"/>
      <c r="Q40" s="468"/>
      <c r="T40" s="2"/>
      <c r="U40" s="73"/>
      <c r="X40" s="2"/>
      <c r="Y40" s="73"/>
      <c r="AB40" s="2"/>
      <c r="AC40" s="73"/>
    </row>
    <row r="41" spans="1:29" x14ac:dyDescent="0.25">
      <c r="A41" s="154"/>
      <c r="B41" s="12"/>
      <c r="D41" s="8">
        <f>SUM(D33:D40)</f>
        <v>0</v>
      </c>
      <c r="E41" s="435"/>
      <c r="F41" s="2"/>
      <c r="G41" s="83" t="str">
        <f>IF(D41=0,"0.00%",(H41-D41)/D41)</f>
        <v>0.00%</v>
      </c>
      <c r="H41" s="8">
        <f>SUM(H33:H40)</f>
        <v>0</v>
      </c>
      <c r="I41" s="461"/>
      <c r="J41" s="29"/>
      <c r="K41" s="83" t="str">
        <f>IF(H41=0,"0.00%",(L41-H41)/H41)</f>
        <v>0.00%</v>
      </c>
      <c r="L41" s="8">
        <f>SUM(L33:L40)</f>
        <v>0</v>
      </c>
      <c r="M41" s="468"/>
      <c r="O41" s="83" t="str">
        <f>IF(L41=0,"0.00%",(P41-L41)/L41)</f>
        <v>0.00%</v>
      </c>
      <c r="P41" s="8">
        <f>SUM(P33:P40)</f>
        <v>0</v>
      </c>
      <c r="Q41" s="46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3"/>
      <c r="B42" s="20" t="s">
        <v>28</v>
      </c>
      <c r="E42" s="435"/>
      <c r="F42" s="2"/>
      <c r="H42" s="2"/>
      <c r="I42" s="438"/>
      <c r="J42" s="66"/>
      <c r="L42" s="2"/>
      <c r="M42" s="468"/>
      <c r="Q42" s="468"/>
      <c r="T42" s="2"/>
      <c r="U42" s="73"/>
      <c r="X42" s="2"/>
      <c r="Y42" s="73"/>
      <c r="AB42" s="2"/>
      <c r="AC42" s="73"/>
    </row>
    <row r="43" spans="1:29" x14ac:dyDescent="0.25">
      <c r="A43" s="155"/>
      <c r="B43" s="21" t="s">
        <v>27</v>
      </c>
      <c r="E43" s="435"/>
      <c r="F43" s="2"/>
      <c r="H43" s="2"/>
      <c r="I43" s="438"/>
      <c r="J43" s="66"/>
      <c r="L43" s="2"/>
      <c r="M43" s="468"/>
      <c r="Q43" s="468"/>
      <c r="T43" s="2"/>
      <c r="U43" s="73"/>
      <c r="X43" s="2"/>
      <c r="Y43" s="73"/>
      <c r="AB43" s="2"/>
      <c r="AC43" s="73"/>
    </row>
    <row r="44" spans="1:29" x14ac:dyDescent="0.25">
      <c r="A44" s="153"/>
      <c r="B44" s="12" t="s">
        <v>83</v>
      </c>
      <c r="C44" s="441" t="s">
        <v>76</v>
      </c>
      <c r="D44" s="2">
        <v>0</v>
      </c>
      <c r="E44" s="458" t="str">
        <f>TEXT('MYP Assumptions'!$D$52,"0.00%")&amp;", STRS rate"</f>
        <v>12.58%, STRS rate</v>
      </c>
      <c r="F44" s="2"/>
      <c r="G44" s="83" t="str">
        <f t="shared" ref="G44:G53" si="17">IF(D44=0,"0.00%",(H44-D44)/D44)</f>
        <v>0.00%</v>
      </c>
      <c r="H44" s="2">
        <f>ROUND(H30*LEFT(I44,6),0)</f>
        <v>0</v>
      </c>
      <c r="I44" s="458" t="str">
        <f>TEXT('MYP Assumptions'!E52,"0.00%")&amp;", projected STRS rate"</f>
        <v>14.43%, projected STRS rate</v>
      </c>
      <c r="J44" s="66"/>
      <c r="K44" s="83" t="str">
        <f t="shared" ref="K44:K53" si="18">IF(H44=0,"0.00%",(L44-H44)/H44)</f>
        <v>0.00%</v>
      </c>
      <c r="L44" s="2">
        <f>ROUND(L30*LEFT(M44,6),0)</f>
        <v>0</v>
      </c>
      <c r="M44" s="458" t="str">
        <f>TEXT('MYP Assumptions'!F52,"0.00%")&amp;", projected STRS rate"</f>
        <v>16.28%, projected STRS rate</v>
      </c>
      <c r="O44" s="83" t="str">
        <f t="shared" ref="O44:O53" si="19">IF(L44=0,"0.00%",(P44-L44)/L44)</f>
        <v>0.00%</v>
      </c>
      <c r="P44" s="2">
        <f>ROUND(P30*LEFT(Q44,6),0)</f>
        <v>0</v>
      </c>
      <c r="Q44" s="458" t="str">
        <f>TEXT('MYP Assumptions'!G52,"0.00%")&amp;", projected STRS rate"</f>
        <v>18.13%, projected STRS rate</v>
      </c>
      <c r="S44" s="83" t="str">
        <f t="shared" ref="S44:S53" si="20">IF(P44=0,"0.00%",(T44-P44)/P44)</f>
        <v>0.00%</v>
      </c>
      <c r="T44" s="2">
        <f>ROUND(T30*LEFT(U44,6),0)</f>
        <v>0</v>
      </c>
      <c r="U44" s="81" t="str">
        <f>TEXT('MYP Assumptions'!H52,"0.00%")&amp;", projected STRS rate"</f>
        <v>19.10%, projected STRS rate</v>
      </c>
      <c r="W44" s="83" t="str">
        <f t="shared" ref="W44:W53" si="21">IF(T44=0,"0.00%",(X44-T44)/T44)</f>
        <v>0.00%</v>
      </c>
      <c r="X44" s="2">
        <f>ROUND(X30*LEFT(Y44,6),0)</f>
        <v>0</v>
      </c>
      <c r="Y44" s="81" t="str">
        <f>TEXT('MYP Assumptions'!I52,"0.00%")&amp;", projected STRS rate"</f>
        <v>19.10%, projected STRS rate</v>
      </c>
      <c r="AA44" s="83" t="str">
        <f t="shared" ref="AA44:AA53" si="22">IF(X44=0,"0.00%",(AB44-X44)/X44)</f>
        <v>0.00%</v>
      </c>
      <c r="AB44" s="2">
        <f>ROUND(AB30*LEFT(AC44,6),0)</f>
        <v>0</v>
      </c>
      <c r="AC44" s="81" t="str">
        <f>TEXT('MYP Assumptions'!J52,"0.00%")&amp;", projected STRS rate"</f>
        <v>19.10%, projected STRS rate</v>
      </c>
    </row>
    <row r="45" spans="1:29" x14ac:dyDescent="0.25">
      <c r="A45" s="153"/>
      <c r="B45" s="12" t="s">
        <v>84</v>
      </c>
      <c r="C45" s="441" t="s">
        <v>77</v>
      </c>
      <c r="D45" s="2">
        <v>0</v>
      </c>
      <c r="E45" s="458" t="str">
        <f>TEXT('MYP Assumptions'!$D$53,"0.00%")&amp;", PERS rate"</f>
        <v>13.89%, PERS rate</v>
      </c>
      <c r="F45" s="2"/>
      <c r="G45" s="83" t="str">
        <f t="shared" si="17"/>
        <v>0.00%</v>
      </c>
      <c r="H45" s="2">
        <f>ROUND(H41*LEFT(I45,6),0)</f>
        <v>0</v>
      </c>
      <c r="I45" s="458" t="str">
        <f>TEXT('MYP Assumptions'!E53,"0.00%")&amp;", projected PERS rate"</f>
        <v>15.53%, projected PERS rate</v>
      </c>
      <c r="J45" s="66"/>
      <c r="K45" s="83" t="str">
        <f t="shared" si="18"/>
        <v>0.00%</v>
      </c>
      <c r="L45" s="2">
        <f>ROUND(L41*LEFT(M45,6),0)</f>
        <v>0</v>
      </c>
      <c r="M45" s="458" t="str">
        <f>TEXT('MYP Assumptions'!F53,"0.00%")&amp;", projected PERS rate"</f>
        <v>18.10%, projected PERS rate</v>
      </c>
      <c r="O45" s="83" t="str">
        <f t="shared" si="19"/>
        <v>0.00%</v>
      </c>
      <c r="P45" s="2">
        <f>ROUND(P41*LEFT(Q45,6),0)</f>
        <v>0</v>
      </c>
      <c r="Q45" s="458" t="str">
        <f>TEXT('MYP Assumptions'!G53,"0.00%")&amp;", projected PERS rate"</f>
        <v>20.80%, projected PERS rate</v>
      </c>
      <c r="S45" s="83" t="str">
        <f t="shared" si="20"/>
        <v>0.00%</v>
      </c>
      <c r="T45" s="2">
        <f>ROUND(T41*LEFT(U45,6),0)</f>
        <v>0</v>
      </c>
      <c r="U45" s="81" t="str">
        <f>TEXT('MYP Assumptions'!H53,"0.00%")&amp;", projected PERS rate"</f>
        <v>23.80%, projected PERS rate</v>
      </c>
      <c r="W45" s="83" t="str">
        <f t="shared" si="21"/>
        <v>0.00%</v>
      </c>
      <c r="X45" s="2">
        <f>ROUND(X41*LEFT(Y45,6),0)</f>
        <v>0</v>
      </c>
      <c r="Y45" s="81" t="str">
        <f>TEXT('MYP Assumptions'!I53,"0.00%")&amp;", projected PERS rate"</f>
        <v>25.20%, projected PERS rate</v>
      </c>
      <c r="AA45" s="83" t="str">
        <f t="shared" si="22"/>
        <v>0.00%</v>
      </c>
      <c r="AB45" s="2">
        <f>ROUND(AB41*LEFT(AC45,6),0)</f>
        <v>0</v>
      </c>
      <c r="AC45" s="81" t="str">
        <f>TEXT('MYP Assumptions'!J53,"0.00%")&amp;", projected PERS rate"</f>
        <v>26.10%, projected PERS rate</v>
      </c>
    </row>
    <row r="46" spans="1:29" x14ac:dyDescent="0.25">
      <c r="A46" s="153"/>
      <c r="B46" s="12" t="s">
        <v>85</v>
      </c>
      <c r="C46" s="441" t="s">
        <v>78</v>
      </c>
      <c r="D46" s="2">
        <v>0</v>
      </c>
      <c r="E46" s="458" t="str">
        <f>TEXT('MYP Assumptions'!$D$54,"0.00%")&amp;", SS rate"</f>
        <v>6.20%, SS rate</v>
      </c>
      <c r="F46" s="2"/>
      <c r="G46" s="83" t="str">
        <f t="shared" si="17"/>
        <v>0.00%</v>
      </c>
      <c r="H46" s="2">
        <f>ROUND(H41*LEFT(I46,5),0)</f>
        <v>0</v>
      </c>
      <c r="I46" s="458" t="str">
        <f>TEXT('MYP Assumptions'!E54,"0.00%")&amp;", no rate change"</f>
        <v>6.20%, no rate change</v>
      </c>
      <c r="J46" s="66"/>
      <c r="K46" s="83" t="str">
        <f t="shared" si="18"/>
        <v>0.00%</v>
      </c>
      <c r="L46" s="2">
        <f>ROUND(L41*LEFT(M46,5),0)</f>
        <v>0</v>
      </c>
      <c r="M46" s="458" t="str">
        <f>TEXT('MYP Assumptions'!F54,"0.00%")&amp;", no rate change"</f>
        <v>6.20%, no rate change</v>
      </c>
      <c r="O46" s="83" t="str">
        <f t="shared" si="19"/>
        <v>0.00%</v>
      </c>
      <c r="P46" s="2">
        <f>ROUND(P41*LEFT(Q46,5),0)</f>
        <v>0</v>
      </c>
      <c r="Q46" s="458" t="str">
        <f>TEXT('MYP Assumptions'!G54,"0.00%")&amp;", no rate change"</f>
        <v>6.20%, no rate change</v>
      </c>
      <c r="S46" s="83" t="str">
        <f t="shared" si="20"/>
        <v>0.00%</v>
      </c>
      <c r="T46" s="2">
        <f>ROUND(T41*LEFT(U46,5),0)</f>
        <v>0</v>
      </c>
      <c r="U46" s="81" t="str">
        <f>TEXT('MYP Assumptions'!H54,"0.00%")&amp;", no rate change"</f>
        <v>6.20%, no rate change</v>
      </c>
      <c r="W46" s="83" t="str">
        <f t="shared" si="21"/>
        <v>0.00%</v>
      </c>
      <c r="X46" s="2">
        <f>ROUND(X41*LEFT(Y46,5),0)</f>
        <v>0</v>
      </c>
      <c r="Y46" s="81" t="str">
        <f>TEXT('MYP Assumptions'!I54,"0.00%")&amp;", no rate change"</f>
        <v>6.20%, no rate change</v>
      </c>
      <c r="AA46" s="83" t="str">
        <f t="shared" si="22"/>
        <v>0.00%</v>
      </c>
      <c r="AB46" s="2">
        <f>ROUND(AB41*LEFT(AC46,5),0)</f>
        <v>0</v>
      </c>
      <c r="AC46" s="81" t="str">
        <f>TEXT('MYP Assumptions'!J54,"0.00%")&amp;", no rate change"</f>
        <v>6.20%, no rate change</v>
      </c>
    </row>
    <row r="47" spans="1:29" x14ac:dyDescent="0.25">
      <c r="A47" s="153"/>
      <c r="B47" s="12" t="s">
        <v>86</v>
      </c>
      <c r="C47" s="441" t="s">
        <v>79</v>
      </c>
      <c r="D47" s="2">
        <v>0</v>
      </c>
      <c r="E47" s="458" t="str">
        <f>TEXT('MYP Assumptions'!$D$55,"0.00%")&amp;", Medicare rate"</f>
        <v>1.45%, Medicare rate</v>
      </c>
      <c r="F47" s="2"/>
      <c r="G47" s="83" t="str">
        <f t="shared" si="17"/>
        <v>0.00%</v>
      </c>
      <c r="H47" s="2">
        <f>ROUND((H41+H30)*LEFT(I47,5),0)</f>
        <v>0</v>
      </c>
      <c r="I47" s="458" t="str">
        <f>TEXT('MYP Assumptions'!E55,"0.00%")&amp;", no rate change"</f>
        <v>1.45%, no rate change</v>
      </c>
      <c r="J47" s="66"/>
      <c r="K47" s="83" t="str">
        <f t="shared" si="18"/>
        <v>0.00%</v>
      </c>
      <c r="L47" s="2">
        <f>ROUND((L41+L30)*LEFT(M47,5),0)</f>
        <v>0</v>
      </c>
      <c r="M47" s="458" t="str">
        <f>TEXT('MYP Assumptions'!F55,"0.00%")&amp;", no rate change"</f>
        <v>1.45%, no rate change</v>
      </c>
      <c r="O47" s="83" t="str">
        <f t="shared" si="19"/>
        <v>0.00%</v>
      </c>
      <c r="P47" s="2">
        <f>ROUND((P41+P30)*LEFT(Q47,5),0)</f>
        <v>0</v>
      </c>
      <c r="Q47" s="458" t="str">
        <f>TEXT('MYP Assumptions'!G55,"0.00%")&amp;", no rate change"</f>
        <v>1.45%, no rate change</v>
      </c>
      <c r="S47" s="83" t="str">
        <f t="shared" si="20"/>
        <v>0.00%</v>
      </c>
      <c r="T47" s="2">
        <f>ROUND((T41+T30)*LEFT(U47,5),0)</f>
        <v>0</v>
      </c>
      <c r="U47" s="81" t="str">
        <f>TEXT('MYP Assumptions'!H55,"0.00%")&amp;", no rate change"</f>
        <v>1.45%, no rate change</v>
      </c>
      <c r="W47" s="83" t="str">
        <f t="shared" si="21"/>
        <v>0.00%</v>
      </c>
      <c r="X47" s="2">
        <f>ROUND((X41+X30)*LEFT(Y47,5),0)</f>
        <v>0</v>
      </c>
      <c r="Y47" s="81" t="str">
        <f>TEXT('MYP Assumptions'!I55,"0.00%")&amp;", no rate change"</f>
        <v>1.45%, no rate change</v>
      </c>
      <c r="AA47" s="83" t="str">
        <f t="shared" si="22"/>
        <v>0.00%</v>
      </c>
      <c r="AB47" s="2">
        <f>ROUND((AB41+AB30)*LEFT(AC47,5),0)</f>
        <v>0</v>
      </c>
      <c r="AC47" s="81" t="str">
        <f>TEXT('MYP Assumptions'!J55,"0.00%")&amp;", no rate change"</f>
        <v>1.45%, no rate change</v>
      </c>
    </row>
    <row r="48" spans="1:29" x14ac:dyDescent="0.25">
      <c r="A48" s="153"/>
      <c r="B48" s="12" t="s">
        <v>87</v>
      </c>
      <c r="C48" s="441" t="s">
        <v>80</v>
      </c>
      <c r="D48" s="2">
        <v>0</v>
      </c>
      <c r="E48" s="458"/>
      <c r="F48" s="2"/>
      <c r="G48" s="83" t="str">
        <f t="shared" si="17"/>
        <v>0.00%</v>
      </c>
      <c r="H48" s="2">
        <f>ROUND((D48)*(LEFT(I48,5)+1),0)</f>
        <v>0</v>
      </c>
      <c r="I48" s="458" t="str">
        <f>TEXT('MYP Assumptions'!$M$62,"0.00%")&amp;", projected increase"</f>
        <v>7.00%, projected increase</v>
      </c>
      <c r="J48" s="66"/>
      <c r="K48" s="83" t="str">
        <f t="shared" si="18"/>
        <v>0.00%</v>
      </c>
      <c r="L48" s="2">
        <f>ROUND((H48)*(LEFT(M48,5)+1),0)</f>
        <v>0</v>
      </c>
      <c r="M48" s="458" t="str">
        <f>TEXT('MYP Assumptions'!$M$62,"0.00%")&amp;", projected increase"</f>
        <v>7.00%, projected increase</v>
      </c>
      <c r="O48" s="83" t="str">
        <f t="shared" si="19"/>
        <v>0.00%</v>
      </c>
      <c r="P48" s="2">
        <f>ROUND((L48)*(LEFT(Q48,5)+1),0)</f>
        <v>0</v>
      </c>
      <c r="Q48" s="458" t="str">
        <f>TEXT('MYP Assumptions'!$M$62,"0.00%")&amp;", projected increase"</f>
        <v>7.00%, projected increase</v>
      </c>
      <c r="S48" s="83" t="str">
        <f t="shared" si="20"/>
        <v>0.00%</v>
      </c>
      <c r="T48" s="2">
        <f>ROUND((P48)*(LEFT(U48,5)+1),0)</f>
        <v>0</v>
      </c>
      <c r="U48" s="81" t="str">
        <f>TEXT('MYP Assumptions'!$M$62,"0.00%")&amp;", projected increase"</f>
        <v>7.00%, projected increase</v>
      </c>
      <c r="W48" s="83" t="str">
        <f t="shared" si="21"/>
        <v>0.00%</v>
      </c>
      <c r="X48" s="2">
        <f>ROUND((T48)*(LEFT(Y48,5)+1),0)</f>
        <v>0</v>
      </c>
      <c r="Y48" s="81" t="str">
        <f>TEXT('MYP Assumptions'!$M$62,"0.00%")&amp;", projected increase"</f>
        <v>7.00%, projected increase</v>
      </c>
      <c r="AA48" s="83" t="str">
        <f t="shared" si="22"/>
        <v>0.00%</v>
      </c>
      <c r="AB48" s="2">
        <f>ROUND((X48)*(LEFT(AC48,5)+1),0)</f>
        <v>0</v>
      </c>
      <c r="AC48" s="81" t="str">
        <f>TEXT('MYP Assumptions'!$M$62,"0.00%")&amp;", projected increase"</f>
        <v>7.00%, projected increase</v>
      </c>
    </row>
    <row r="49" spans="1:29" x14ac:dyDescent="0.25">
      <c r="A49" s="153"/>
      <c r="B49" s="12" t="s">
        <v>88</v>
      </c>
      <c r="C49" s="441" t="s">
        <v>81</v>
      </c>
      <c r="D49" s="2">
        <v>0</v>
      </c>
      <c r="E49" s="458" t="str">
        <f>TEXT('MYP Assumptions'!$D$56,"0.00%")&amp;", SUI rate"</f>
        <v>0.05%, SUI rate</v>
      </c>
      <c r="F49" s="2"/>
      <c r="G49" s="83" t="str">
        <f t="shared" si="17"/>
        <v>0.00%</v>
      </c>
      <c r="H49" s="2">
        <f>ROUND((H41+H30)*LEFT(I49,5),0)</f>
        <v>0</v>
      </c>
      <c r="I49" s="458" t="str">
        <f>TEXT('MYP Assumptions'!E56,"0.00%")&amp;", no rate change"</f>
        <v>0.05%, no rate change</v>
      </c>
      <c r="J49" s="66"/>
      <c r="K49" s="83" t="str">
        <f t="shared" si="18"/>
        <v>0.00%</v>
      </c>
      <c r="L49" s="2">
        <f>ROUND((L41+L30)*LEFT(M49,5),0)</f>
        <v>0</v>
      </c>
      <c r="M49" s="458" t="str">
        <f>TEXT('MYP Assumptions'!F56,"0.00%")&amp;", no rate change"</f>
        <v>0.05%, no rate change</v>
      </c>
      <c r="O49" s="83" t="str">
        <f t="shared" si="19"/>
        <v>0.00%</v>
      </c>
      <c r="P49" s="2">
        <f>ROUND((P41+P30)*LEFT(Q49,5),0)</f>
        <v>0</v>
      </c>
      <c r="Q49" s="458" t="str">
        <f>TEXT('MYP Assumptions'!G56,"0.00%")&amp;", no rate change"</f>
        <v>0.05%, no rate change</v>
      </c>
      <c r="S49" s="83" t="str">
        <f t="shared" si="20"/>
        <v>0.00%</v>
      </c>
      <c r="T49" s="2">
        <f>ROUND((T41+T30)*LEFT(U49,5),0)</f>
        <v>0</v>
      </c>
      <c r="U49" s="81" t="str">
        <f>TEXT('MYP Assumptions'!H56,"0.00%")&amp;", no rate change"</f>
        <v>0.05%, no rate change</v>
      </c>
      <c r="W49" s="83" t="str">
        <f t="shared" si="21"/>
        <v>0.00%</v>
      </c>
      <c r="X49" s="2">
        <f>ROUND((X41+X30)*LEFT(Y49,5),0)</f>
        <v>0</v>
      </c>
      <c r="Y49" s="81" t="str">
        <f>TEXT('MYP Assumptions'!I56,"0.00%")&amp;", no rate change"</f>
        <v>0.05%, no rate change</v>
      </c>
      <c r="AA49" s="83" t="str">
        <f t="shared" si="22"/>
        <v>0.00%</v>
      </c>
      <c r="AB49" s="2">
        <f>ROUND((AB41+AB30)*LEFT(AC49,5),0)</f>
        <v>0</v>
      </c>
      <c r="AC49" s="81" t="str">
        <f>TEXT('MYP Assumptions'!J56,"0.00%")&amp;", no rate change"</f>
        <v>0.05%, no rate change</v>
      </c>
    </row>
    <row r="50" spans="1:29" x14ac:dyDescent="0.25">
      <c r="A50" s="153"/>
      <c r="B50" s="12" t="s">
        <v>89</v>
      </c>
      <c r="C50" s="441" t="s">
        <v>82</v>
      </c>
      <c r="D50" s="2">
        <v>0</v>
      </c>
      <c r="E50" s="458" t="str">
        <f>TEXT('MYP Assumptions'!$D$57,"0.00%")&amp;", W/C rate"</f>
        <v>1.10%, W/C rate</v>
      </c>
      <c r="F50" s="2"/>
      <c r="G50" s="83" t="str">
        <f t="shared" si="17"/>
        <v>0.00%</v>
      </c>
      <c r="H50" s="2">
        <f>ROUND((H41+H30)*LEFT(I50,5),0)</f>
        <v>0</v>
      </c>
      <c r="I50" s="458" t="str">
        <f>TEXT('MYP Assumptions'!E57,"0.00%")&amp;", no rate change"</f>
        <v>1.10%, no rate change</v>
      </c>
      <c r="J50" s="66"/>
      <c r="K50" s="83" t="str">
        <f t="shared" si="18"/>
        <v>0.00%</v>
      </c>
      <c r="L50" s="2">
        <f>ROUND((L41+L30)*LEFT(M50,5),0)</f>
        <v>0</v>
      </c>
      <c r="M50" s="458" t="str">
        <f>TEXT('MYP Assumptions'!F57,"0.00%")&amp;", no rate change"</f>
        <v>1.10%, no rate change</v>
      </c>
      <c r="O50" s="83" t="str">
        <f t="shared" si="19"/>
        <v>0.00%</v>
      </c>
      <c r="P50" s="2">
        <f>ROUND((P41+P30)*LEFT(Q50,5),0)</f>
        <v>0</v>
      </c>
      <c r="Q50" s="458" t="str">
        <f>TEXT('MYP Assumptions'!G57,"0.00%")&amp;", no rate change"</f>
        <v>1.10%, no rate change</v>
      </c>
      <c r="S50" s="83" t="str">
        <f t="shared" si="20"/>
        <v>0.00%</v>
      </c>
      <c r="T50" s="2">
        <f>ROUND((T41+T30)*LEFT(U50,5),0)</f>
        <v>0</v>
      </c>
      <c r="U50" s="81" t="str">
        <f>TEXT('MYP Assumptions'!H57,"0.00%")&amp;", no rate change"</f>
        <v>1.10%, no rate change</v>
      </c>
      <c r="W50" s="83" t="str">
        <f t="shared" si="21"/>
        <v>0.00%</v>
      </c>
      <c r="X50" s="2">
        <f>ROUND((X41+X30)*LEFT(Y50,5),0)</f>
        <v>0</v>
      </c>
      <c r="Y50" s="81" t="str">
        <f>TEXT('MYP Assumptions'!I57,"0.00%")&amp;", no rate change"</f>
        <v>1.10%, no rate change</v>
      </c>
      <c r="AA50" s="83" t="str">
        <f t="shared" si="22"/>
        <v>0.00%</v>
      </c>
      <c r="AB50" s="2">
        <f>ROUND((AB41+AB30)*LEFT(AC50,5),0)</f>
        <v>0</v>
      </c>
      <c r="AC50" s="81" t="str">
        <f>TEXT('MYP Assumptions'!J57,"0.00%")&amp;", no rate change"</f>
        <v>1.10%, no rate change</v>
      </c>
    </row>
    <row r="51" spans="1:29" x14ac:dyDescent="0.25">
      <c r="A51" s="153"/>
      <c r="B51" s="12" t="s">
        <v>90</v>
      </c>
      <c r="C51" s="441" t="s">
        <v>92</v>
      </c>
      <c r="D51" s="2">
        <v>0</v>
      </c>
      <c r="E51" s="435"/>
      <c r="F51" s="2"/>
      <c r="G51" s="83" t="str">
        <f t="shared" si="17"/>
        <v>0.00%</v>
      </c>
      <c r="H51" s="2">
        <f>D51</f>
        <v>0</v>
      </c>
      <c r="I51" s="458" t="s">
        <v>166</v>
      </c>
      <c r="J51" s="66"/>
      <c r="K51" s="83" t="str">
        <f t="shared" si="18"/>
        <v>0.00%</v>
      </c>
      <c r="L51" s="2">
        <f>H51</f>
        <v>0</v>
      </c>
      <c r="M51" s="458" t="s">
        <v>166</v>
      </c>
      <c r="O51" s="83" t="str">
        <f t="shared" si="19"/>
        <v>0.00%</v>
      </c>
      <c r="P51" s="2">
        <f>L51</f>
        <v>0</v>
      </c>
      <c r="Q51" s="458"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x14ac:dyDescent="0.25">
      <c r="A52" s="153"/>
      <c r="B52" s="12" t="s">
        <v>91</v>
      </c>
      <c r="C52" s="441" t="s">
        <v>93</v>
      </c>
      <c r="D52" s="2">
        <v>0</v>
      </c>
      <c r="E52" s="435"/>
      <c r="F52" s="2"/>
      <c r="G52" s="83" t="str">
        <f t="shared" si="17"/>
        <v>0.00%</v>
      </c>
      <c r="H52" s="2">
        <f>D52</f>
        <v>0</v>
      </c>
      <c r="I52" s="458" t="s">
        <v>166</v>
      </c>
      <c r="J52" s="66"/>
      <c r="K52" s="83" t="str">
        <f t="shared" si="18"/>
        <v>0.00%</v>
      </c>
      <c r="L52" s="2">
        <f>H52</f>
        <v>0</v>
      </c>
      <c r="M52" s="458" t="s">
        <v>166</v>
      </c>
      <c r="O52" s="83" t="str">
        <f t="shared" si="19"/>
        <v>0.00%</v>
      </c>
      <c r="P52" s="2">
        <f>L52</f>
        <v>0</v>
      </c>
      <c r="Q52" s="458"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x14ac:dyDescent="0.25">
      <c r="A53" s="154"/>
      <c r="B53" s="12"/>
      <c r="D53" s="8">
        <f>SUM(D44:D52)</f>
        <v>0</v>
      </c>
      <c r="E53" s="435"/>
      <c r="F53" s="2"/>
      <c r="G53" s="83" t="str">
        <f t="shared" si="17"/>
        <v>0.00%</v>
      </c>
      <c r="H53" s="8">
        <f>SUM(H44:H52)</f>
        <v>0</v>
      </c>
      <c r="I53" s="461"/>
      <c r="J53" s="29"/>
      <c r="K53" s="83" t="str">
        <f t="shared" si="18"/>
        <v>0.00%</v>
      </c>
      <c r="L53" s="8">
        <f>SUM(L44:L52)</f>
        <v>0</v>
      </c>
      <c r="M53" s="468"/>
      <c r="O53" s="83" t="str">
        <f t="shared" si="19"/>
        <v>0.00%</v>
      </c>
      <c r="P53" s="8">
        <f>SUM(P44:P52)</f>
        <v>0</v>
      </c>
      <c r="Q53" s="468"/>
      <c r="S53" s="83" t="str">
        <f t="shared" si="20"/>
        <v>0.00%</v>
      </c>
      <c r="T53" s="8">
        <f>SUM(T44:T52)</f>
        <v>0</v>
      </c>
      <c r="U53" s="73"/>
      <c r="W53" s="83" t="str">
        <f t="shared" si="21"/>
        <v>0.00%</v>
      </c>
      <c r="X53" s="8">
        <f>SUM(X44:X52)</f>
        <v>0</v>
      </c>
      <c r="Y53" s="73"/>
      <c r="AA53" s="83" t="str">
        <f t="shared" si="22"/>
        <v>0.00%</v>
      </c>
      <c r="AB53" s="8">
        <f>SUM(AB44:AB52)</f>
        <v>0</v>
      </c>
      <c r="AC53" s="73"/>
    </row>
    <row r="54" spans="1:29" x14ac:dyDescent="0.25">
      <c r="A54" s="155"/>
      <c r="B54" s="12"/>
      <c r="E54" s="435"/>
      <c r="F54" s="2"/>
      <c r="H54" s="2"/>
      <c r="I54" s="438"/>
      <c r="J54" s="66"/>
      <c r="L54" s="2"/>
      <c r="M54" s="468"/>
      <c r="Q54" s="468"/>
      <c r="T54" s="2"/>
      <c r="U54" s="73"/>
      <c r="X54" s="2"/>
      <c r="Y54" s="73"/>
      <c r="AB54" s="2"/>
      <c r="AC54" s="73"/>
    </row>
    <row r="55" spans="1:29" x14ac:dyDescent="0.25">
      <c r="A55" s="154"/>
      <c r="B55" s="21" t="s">
        <v>26</v>
      </c>
      <c r="D55" s="8">
        <f>SUM(D53,D41,D30)</f>
        <v>0</v>
      </c>
      <c r="E55" s="435"/>
      <c r="F55" s="2"/>
      <c r="G55" s="83" t="str">
        <f>IF(D55=0,"0.00%",(H55-D55)/D55)</f>
        <v>0.00%</v>
      </c>
      <c r="H55" s="8">
        <f>SUM(H53,H41,H30)</f>
        <v>0</v>
      </c>
      <c r="I55" s="461"/>
      <c r="J55" s="29"/>
      <c r="K55" s="83" t="str">
        <f>IF(H55=0,"0.00%",(L55-H55)/H55)</f>
        <v>0.00%</v>
      </c>
      <c r="L55" s="8">
        <f>SUM(L53,L41,L30)</f>
        <v>0</v>
      </c>
      <c r="M55" s="468"/>
      <c r="O55" s="83" t="str">
        <f>IF(L55=0,"0.00%",(P55-L55)/L55)</f>
        <v>0.00%</v>
      </c>
      <c r="P55" s="8">
        <f>SUM(P53,P41,P30)</f>
        <v>0</v>
      </c>
      <c r="Q55" s="46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x14ac:dyDescent="0.25">
      <c r="A56" s="156"/>
      <c r="E56" s="435"/>
      <c r="F56" s="2"/>
      <c r="H56" s="2"/>
      <c r="I56" s="438"/>
      <c r="J56" s="66"/>
      <c r="L56" s="2"/>
      <c r="M56" s="468"/>
      <c r="Q56" s="468"/>
      <c r="T56" s="2"/>
      <c r="U56" s="73"/>
      <c r="X56" s="2"/>
      <c r="Y56" s="73"/>
      <c r="AB56" s="2"/>
      <c r="AC56" s="73"/>
    </row>
    <row r="57" spans="1:29" x14ac:dyDescent="0.25">
      <c r="A57" s="153"/>
      <c r="E57" s="435"/>
      <c r="F57" s="2"/>
      <c r="H57" s="2"/>
      <c r="I57" s="438"/>
      <c r="J57" s="66"/>
      <c r="L57" s="2"/>
      <c r="M57" s="468"/>
      <c r="Q57" s="468"/>
      <c r="T57" s="2"/>
      <c r="U57" s="73"/>
      <c r="X57" s="2"/>
      <c r="Y57" s="73"/>
      <c r="AB57" s="2"/>
      <c r="AC57" s="73"/>
    </row>
    <row r="58" spans="1:29" x14ac:dyDescent="0.25">
      <c r="A58" s="156"/>
      <c r="B58" s="22" t="s">
        <v>25</v>
      </c>
      <c r="C58" s="444"/>
      <c r="E58" s="435"/>
      <c r="F58" s="2"/>
      <c r="H58" s="2"/>
      <c r="I58" s="438"/>
      <c r="J58" s="66"/>
      <c r="L58" s="2"/>
      <c r="M58" s="468"/>
      <c r="Q58" s="468"/>
      <c r="T58" s="2"/>
      <c r="U58" s="73"/>
      <c r="X58" s="2"/>
      <c r="Y58" s="73"/>
      <c r="AB58" s="2"/>
      <c r="AC58" s="73"/>
    </row>
    <row r="59" spans="1:29" x14ac:dyDescent="0.25">
      <c r="A59" s="153"/>
      <c r="B59" s="12"/>
      <c r="D59" s="2">
        <v>0</v>
      </c>
      <c r="E59" s="435"/>
      <c r="F59" s="2"/>
      <c r="G59" s="83" t="str">
        <f t="shared" ref="G59:G66" si="23">IF(D59=0,"0.00%",(H59-D59)/D59)</f>
        <v>0.00%</v>
      </c>
      <c r="H59" s="2">
        <f t="shared" ref="H59:H65" si="24">ROUND(D59*(LEFT(I59,5)+1),0)</f>
        <v>0</v>
      </c>
      <c r="I59" s="458" t="str">
        <f>TEXT('MYP Assumptions'!E72,"0.00%")&amp;", CPI"</f>
        <v>3.11%, CPI</v>
      </c>
      <c r="J59" s="66"/>
      <c r="K59" s="83" t="str">
        <f t="shared" ref="K59:K66" si="25">IF(H59=0,"0.00%",(L59-H59)/H59)</f>
        <v>0.00%</v>
      </c>
      <c r="L59" s="2">
        <f>ROUND(H59*(LEFT(M59,5)+1),0)</f>
        <v>0</v>
      </c>
      <c r="M59" s="458" t="str">
        <f>TEXT('MYP Assumptions'!F72,"0.00%")&amp;", CPI"</f>
        <v>3.19%, CPI</v>
      </c>
      <c r="O59" s="83" t="str">
        <f t="shared" ref="O59:O66" si="26">IF(L59=0,"0.00%",(P59-L59)/L59)</f>
        <v>0.00%</v>
      </c>
      <c r="P59" s="2">
        <f>ROUND(L59*(LEFT(Q59,5)+1),0)</f>
        <v>0</v>
      </c>
      <c r="Q59" s="458" t="str">
        <f>TEXT('MYP Assumptions'!G72,"0.00%")&amp;", CPI"</f>
        <v>2.86%, CPI</v>
      </c>
      <c r="S59" s="83" t="str">
        <f t="shared" ref="S59:S66" si="27">IF(P59=0,"0.00%",(T59-P59)/P59)</f>
        <v>0.00%</v>
      </c>
      <c r="T59" s="2">
        <f>ROUND(P59*(LEFT(U59,5)+1),0)</f>
        <v>0</v>
      </c>
      <c r="U59" s="81" t="str">
        <f>TEXT('MYP Assumptions'!H72,"0.00%")&amp;", CPI"</f>
        <v>2.73%, CPI</v>
      </c>
      <c r="W59" s="83" t="str">
        <f t="shared" ref="W59:W66" si="28">IF(T59=0,"0.00%",(X59-T59)/T59)</f>
        <v>0.00%</v>
      </c>
      <c r="X59" s="2">
        <f>ROUND(T59*(LEFT(Y59,5)+1),0)</f>
        <v>0</v>
      </c>
      <c r="Y59" s="81" t="str">
        <f>TEXT('MYP Assumptions'!I72,"0.00%")&amp;", CPI"</f>
        <v>2.73%, CPI</v>
      </c>
      <c r="AA59" s="83" t="str">
        <f t="shared" ref="AA59:AA66" si="29">IF(X59=0,"0.00%",(AB59-X59)/X59)</f>
        <v>0.00%</v>
      </c>
      <c r="AB59" s="2">
        <f>ROUND(X59*(LEFT(AC59,5)+1),0)</f>
        <v>0</v>
      </c>
      <c r="AC59" s="81" t="str">
        <f>TEXT('MYP Assumptions'!J72,"0.00%")&amp;", CPI"</f>
        <v>2.73%, CPI</v>
      </c>
    </row>
    <row r="60" spans="1:29" x14ac:dyDescent="0.25">
      <c r="A60" s="153"/>
      <c r="B60" s="12"/>
      <c r="D60" s="2">
        <v>0</v>
      </c>
      <c r="E60" s="435"/>
      <c r="F60" s="2"/>
      <c r="G60" s="83" t="str">
        <f t="shared" si="23"/>
        <v>0.00%</v>
      </c>
      <c r="H60" s="2">
        <f t="shared" si="24"/>
        <v>0</v>
      </c>
      <c r="I60" s="458" t="str">
        <f>TEXT('MYP Assumptions'!E72,"0.00%")&amp;", CPI"</f>
        <v>3.11%, CPI</v>
      </c>
      <c r="J60" s="66"/>
      <c r="K60" s="83" t="str">
        <f t="shared" si="25"/>
        <v>0.00%</v>
      </c>
      <c r="L60" s="2">
        <f t="shared" ref="L60:L65" si="30">ROUND(H60*(LEFT(M60,5)+1),0)</f>
        <v>0</v>
      </c>
      <c r="M60" s="458" t="str">
        <f>TEXT('MYP Assumptions'!F72,"0.00%")&amp;", CPI"</f>
        <v>3.19%, CPI</v>
      </c>
      <c r="O60" s="83" t="str">
        <f t="shared" si="26"/>
        <v>0.00%</v>
      </c>
      <c r="P60" s="2">
        <f t="shared" ref="P60:P65" si="31">ROUND(L60*(LEFT(Q60,5)+1),0)</f>
        <v>0</v>
      </c>
      <c r="Q60" s="458" t="str">
        <f>TEXT('MYP Assumptions'!G72,"0.00%")&amp;", CPI"</f>
        <v>2.86%, CPI</v>
      </c>
      <c r="S60" s="83" t="str">
        <f t="shared" si="27"/>
        <v>0.00%</v>
      </c>
      <c r="T60" s="2">
        <f t="shared" ref="T60:T65" si="32">ROUND(P60*(LEFT(U60,5)+1),0)</f>
        <v>0</v>
      </c>
      <c r="U60" s="81" t="str">
        <f>TEXT('MYP Assumptions'!H72,"0.00%")&amp;", CPI"</f>
        <v>2.73%, CPI</v>
      </c>
      <c r="W60" s="83" t="str">
        <f t="shared" si="28"/>
        <v>0.00%</v>
      </c>
      <c r="X60" s="2">
        <f t="shared" ref="X60:X65" si="33">ROUND(T60*(LEFT(Y60,5)+1),0)</f>
        <v>0</v>
      </c>
      <c r="Y60" s="81" t="str">
        <f>TEXT('MYP Assumptions'!I72,"0.00%")&amp;", CPI"</f>
        <v>2.73%, CPI</v>
      </c>
      <c r="AA60" s="83" t="str">
        <f t="shared" si="29"/>
        <v>0.00%</v>
      </c>
      <c r="AB60" s="2">
        <f t="shared" ref="AB60:AB65" si="34">ROUND(X60*(LEFT(AC60,5)+1),0)</f>
        <v>0</v>
      </c>
      <c r="AC60" s="81" t="str">
        <f>TEXT('MYP Assumptions'!J72,"0.00%")&amp;", CPI"</f>
        <v>2.73%, CPI</v>
      </c>
    </row>
    <row r="61" spans="1:29" x14ac:dyDescent="0.25">
      <c r="A61" s="153"/>
      <c r="B61" s="12"/>
      <c r="D61" s="2">
        <v>0</v>
      </c>
      <c r="E61" s="435"/>
      <c r="F61" s="2"/>
      <c r="G61" s="83" t="str">
        <f t="shared" si="23"/>
        <v>0.00%</v>
      </c>
      <c r="H61" s="2">
        <f t="shared" si="24"/>
        <v>0</v>
      </c>
      <c r="I61" s="458" t="str">
        <f>TEXT('MYP Assumptions'!E72,"0.00%")&amp;", CPI"</f>
        <v>3.11%, CPI</v>
      </c>
      <c r="J61" s="66"/>
      <c r="K61" s="83" t="str">
        <f t="shared" si="25"/>
        <v>0.00%</v>
      </c>
      <c r="L61" s="2">
        <f t="shared" si="30"/>
        <v>0</v>
      </c>
      <c r="M61" s="458" t="str">
        <f>TEXT('MYP Assumptions'!F72,"0.00%")&amp;", CPI"</f>
        <v>3.19%, CPI</v>
      </c>
      <c r="O61" s="83" t="str">
        <f t="shared" si="26"/>
        <v>0.00%</v>
      </c>
      <c r="P61" s="2">
        <f t="shared" si="31"/>
        <v>0</v>
      </c>
      <c r="Q61" s="458" t="str">
        <f>TEXT('MYP Assumptions'!G72,"0.00%")&amp;", CPI"</f>
        <v>2.86%, CPI</v>
      </c>
      <c r="S61" s="83" t="str">
        <f t="shared" si="27"/>
        <v>0.00%</v>
      </c>
      <c r="T61" s="2">
        <f t="shared" si="32"/>
        <v>0</v>
      </c>
      <c r="U61" s="81" t="str">
        <f>TEXT('MYP Assumptions'!H72,"0.00%")&amp;", CPI"</f>
        <v>2.73%, CPI</v>
      </c>
      <c r="W61" s="83" t="str">
        <f t="shared" si="28"/>
        <v>0.00%</v>
      </c>
      <c r="X61" s="2">
        <f t="shared" si="33"/>
        <v>0</v>
      </c>
      <c r="Y61" s="81" t="str">
        <f>TEXT('MYP Assumptions'!I72,"0.00%")&amp;", CPI"</f>
        <v>2.73%, CPI</v>
      </c>
      <c r="AA61" s="83" t="str">
        <f t="shared" si="29"/>
        <v>0.00%</v>
      </c>
      <c r="AB61" s="2">
        <f t="shared" si="34"/>
        <v>0</v>
      </c>
      <c r="AC61" s="81" t="str">
        <f>TEXT('MYP Assumptions'!J72,"0.00%")&amp;", CPI"</f>
        <v>2.73%, CPI</v>
      </c>
    </row>
    <row r="62" spans="1:29" x14ac:dyDescent="0.25">
      <c r="A62" s="153"/>
      <c r="B62" s="12"/>
      <c r="D62" s="2">
        <v>0</v>
      </c>
      <c r="E62" s="435"/>
      <c r="F62" s="2"/>
      <c r="G62" s="83" t="str">
        <f t="shared" si="23"/>
        <v>0.00%</v>
      </c>
      <c r="H62" s="2">
        <f t="shared" si="24"/>
        <v>0</v>
      </c>
      <c r="I62" s="458" t="str">
        <f>TEXT('MYP Assumptions'!E72,"0.00%")&amp;", CPI"</f>
        <v>3.11%, CPI</v>
      </c>
      <c r="J62" s="66"/>
      <c r="K62" s="83" t="str">
        <f t="shared" si="25"/>
        <v>0.00%</v>
      </c>
      <c r="L62" s="2">
        <f t="shared" si="30"/>
        <v>0</v>
      </c>
      <c r="M62" s="458" t="str">
        <f>TEXT('MYP Assumptions'!F72,"0.00%")&amp;", CPI"</f>
        <v>3.19%, CPI</v>
      </c>
      <c r="O62" s="83" t="str">
        <f t="shared" si="26"/>
        <v>0.00%</v>
      </c>
      <c r="P62" s="2">
        <f t="shared" si="31"/>
        <v>0</v>
      </c>
      <c r="Q62" s="458" t="str">
        <f>TEXT('MYP Assumptions'!G72,"0.00%")&amp;", CPI"</f>
        <v>2.86%, CPI</v>
      </c>
      <c r="S62" s="83" t="str">
        <f t="shared" si="27"/>
        <v>0.00%</v>
      </c>
      <c r="T62" s="2">
        <f t="shared" si="32"/>
        <v>0</v>
      </c>
      <c r="U62" s="81" t="str">
        <f>TEXT('MYP Assumptions'!H72,"0.00%")&amp;", CPI"</f>
        <v>2.73%, CPI</v>
      </c>
      <c r="W62" s="83" t="str">
        <f t="shared" si="28"/>
        <v>0.00%</v>
      </c>
      <c r="X62" s="2">
        <f t="shared" si="33"/>
        <v>0</v>
      </c>
      <c r="Y62" s="81" t="str">
        <f>TEXT('MYP Assumptions'!I72,"0.00%")&amp;", CPI"</f>
        <v>2.73%, CPI</v>
      </c>
      <c r="AA62" s="83" t="str">
        <f t="shared" si="29"/>
        <v>0.00%</v>
      </c>
      <c r="AB62" s="2">
        <f t="shared" si="34"/>
        <v>0</v>
      </c>
      <c r="AC62" s="81" t="str">
        <f>TEXT('MYP Assumptions'!J72,"0.00%")&amp;", CPI"</f>
        <v>2.73%, CPI</v>
      </c>
    </row>
    <row r="63" spans="1:29" x14ac:dyDescent="0.25">
      <c r="A63" s="153"/>
      <c r="B63" s="12"/>
      <c r="D63" s="2">
        <v>0</v>
      </c>
      <c r="E63" s="435"/>
      <c r="F63" s="2"/>
      <c r="G63" s="83" t="str">
        <f t="shared" si="23"/>
        <v>0.00%</v>
      </c>
      <c r="H63" s="2">
        <f t="shared" si="24"/>
        <v>0</v>
      </c>
      <c r="I63" s="458" t="str">
        <f>TEXT('MYP Assumptions'!E72,"0.00%")&amp;", CPI"</f>
        <v>3.11%, CPI</v>
      </c>
      <c r="J63" s="66"/>
      <c r="K63" s="83" t="str">
        <f t="shared" si="25"/>
        <v>0.00%</v>
      </c>
      <c r="L63" s="2">
        <f t="shared" si="30"/>
        <v>0</v>
      </c>
      <c r="M63" s="458" t="str">
        <f>TEXT('MYP Assumptions'!F72,"0.00%")&amp;", CPI"</f>
        <v>3.19%, CPI</v>
      </c>
      <c r="O63" s="83" t="str">
        <f t="shared" si="26"/>
        <v>0.00%</v>
      </c>
      <c r="P63" s="2">
        <f t="shared" si="31"/>
        <v>0</v>
      </c>
      <c r="Q63" s="458" t="str">
        <f>TEXT('MYP Assumptions'!G72,"0.00%")&amp;", CPI"</f>
        <v>2.86%, CPI</v>
      </c>
      <c r="S63" s="83" t="str">
        <f t="shared" si="27"/>
        <v>0.00%</v>
      </c>
      <c r="T63" s="2">
        <f t="shared" si="32"/>
        <v>0</v>
      </c>
      <c r="U63" s="81" t="str">
        <f>TEXT('MYP Assumptions'!H72,"0.00%")&amp;", CPI"</f>
        <v>2.73%, CPI</v>
      </c>
      <c r="W63" s="83" t="str">
        <f t="shared" si="28"/>
        <v>0.00%</v>
      </c>
      <c r="X63" s="2">
        <f t="shared" si="33"/>
        <v>0</v>
      </c>
      <c r="Y63" s="81" t="str">
        <f>TEXT('MYP Assumptions'!I72,"0.00%")&amp;", CPI"</f>
        <v>2.73%, CPI</v>
      </c>
      <c r="AA63" s="83" t="str">
        <f t="shared" si="29"/>
        <v>0.00%</v>
      </c>
      <c r="AB63" s="2">
        <f t="shared" si="34"/>
        <v>0</v>
      </c>
      <c r="AC63" s="81" t="str">
        <f>TEXT('MYP Assumptions'!J72,"0.00%")&amp;", CPI"</f>
        <v>2.73%, CPI</v>
      </c>
    </row>
    <row r="64" spans="1:29" x14ac:dyDescent="0.25">
      <c r="A64" s="153"/>
      <c r="B64" s="12"/>
      <c r="D64" s="2">
        <v>0</v>
      </c>
      <c r="E64" s="435"/>
      <c r="F64" s="2"/>
      <c r="G64" s="83" t="str">
        <f t="shared" si="23"/>
        <v>0.00%</v>
      </c>
      <c r="H64" s="2">
        <f t="shared" si="24"/>
        <v>0</v>
      </c>
      <c r="I64" s="458" t="str">
        <f>TEXT('MYP Assumptions'!E72,"0.00%")&amp;", CPI"</f>
        <v>3.11%, CPI</v>
      </c>
      <c r="J64" s="66"/>
      <c r="K64" s="83" t="str">
        <f t="shared" si="25"/>
        <v>0.00%</v>
      </c>
      <c r="L64" s="2">
        <f t="shared" si="30"/>
        <v>0</v>
      </c>
      <c r="M64" s="458" t="str">
        <f>TEXT('MYP Assumptions'!F72,"0.00%")&amp;", CPI"</f>
        <v>3.19%, CPI</v>
      </c>
      <c r="O64" s="83" t="str">
        <f t="shared" si="26"/>
        <v>0.00%</v>
      </c>
      <c r="P64" s="2">
        <f t="shared" si="31"/>
        <v>0</v>
      </c>
      <c r="Q64" s="458" t="str">
        <f>TEXT('MYP Assumptions'!G72,"0.00%")&amp;", CPI"</f>
        <v>2.86%, CPI</v>
      </c>
      <c r="S64" s="83" t="str">
        <f t="shared" si="27"/>
        <v>0.00%</v>
      </c>
      <c r="T64" s="2">
        <f t="shared" si="32"/>
        <v>0</v>
      </c>
      <c r="U64" s="81" t="str">
        <f>TEXT('MYP Assumptions'!H72,"0.00%")&amp;", CPI"</f>
        <v>2.73%, CPI</v>
      </c>
      <c r="W64" s="83" t="str">
        <f t="shared" si="28"/>
        <v>0.00%</v>
      </c>
      <c r="X64" s="2">
        <f t="shared" si="33"/>
        <v>0</v>
      </c>
      <c r="Y64" s="81" t="str">
        <f>TEXT('MYP Assumptions'!I72,"0.00%")&amp;", CPI"</f>
        <v>2.73%, CPI</v>
      </c>
      <c r="AA64" s="83" t="str">
        <f t="shared" si="29"/>
        <v>0.00%</v>
      </c>
      <c r="AB64" s="2">
        <f t="shared" si="34"/>
        <v>0</v>
      </c>
      <c r="AC64" s="81" t="str">
        <f>TEXT('MYP Assumptions'!J72,"0.00%")&amp;", CPI"</f>
        <v>2.73%, CPI</v>
      </c>
    </row>
    <row r="65" spans="1:29" x14ac:dyDescent="0.25">
      <c r="A65" s="153"/>
      <c r="B65" s="12"/>
      <c r="C65" s="445"/>
      <c r="D65" s="2">
        <v>0</v>
      </c>
      <c r="E65" s="435"/>
      <c r="F65" s="2"/>
      <c r="G65" s="83" t="str">
        <f t="shared" si="23"/>
        <v>0.00%</v>
      </c>
      <c r="H65" s="2">
        <f t="shared" si="24"/>
        <v>0</v>
      </c>
      <c r="I65" s="458" t="str">
        <f>TEXT('MYP Assumptions'!E72,"0.00%")&amp;", CPI"</f>
        <v>3.11%, CPI</v>
      </c>
      <c r="J65" s="66"/>
      <c r="K65" s="83" t="str">
        <f t="shared" si="25"/>
        <v>0.00%</v>
      </c>
      <c r="L65" s="2">
        <f t="shared" si="30"/>
        <v>0</v>
      </c>
      <c r="M65" s="458" t="str">
        <f>TEXT('MYP Assumptions'!F72,"0.00%")&amp;", CPI"</f>
        <v>3.19%, CPI</v>
      </c>
      <c r="O65" s="83" t="str">
        <f t="shared" si="26"/>
        <v>0.00%</v>
      </c>
      <c r="P65" s="2">
        <f t="shared" si="31"/>
        <v>0</v>
      </c>
      <c r="Q65" s="458" t="str">
        <f>TEXT('MYP Assumptions'!G72,"0.00%")&amp;", CPI"</f>
        <v>2.86%, CPI</v>
      </c>
      <c r="S65" s="83" t="str">
        <f t="shared" si="27"/>
        <v>0.00%</v>
      </c>
      <c r="T65" s="2">
        <f t="shared" si="32"/>
        <v>0</v>
      </c>
      <c r="U65" s="81" t="str">
        <f>TEXT('MYP Assumptions'!H72,"0.00%")&amp;", CPI"</f>
        <v>2.73%, CPI</v>
      </c>
      <c r="W65" s="83" t="str">
        <f t="shared" si="28"/>
        <v>0.00%</v>
      </c>
      <c r="X65" s="2">
        <f t="shared" si="33"/>
        <v>0</v>
      </c>
      <c r="Y65" s="81" t="str">
        <f>TEXT('MYP Assumptions'!I72,"0.00%")&amp;", CPI"</f>
        <v>2.73%, CPI</v>
      </c>
      <c r="AA65" s="83" t="str">
        <f t="shared" si="29"/>
        <v>0.00%</v>
      </c>
      <c r="AB65" s="2">
        <f t="shared" si="34"/>
        <v>0</v>
      </c>
      <c r="AC65" s="81" t="str">
        <f>TEXT('MYP Assumptions'!J72,"0.00%")&amp;", CPI"</f>
        <v>2.73%, CPI</v>
      </c>
    </row>
    <row r="66" spans="1:29" x14ac:dyDescent="0.25">
      <c r="A66" s="154"/>
      <c r="B66" s="441"/>
      <c r="D66" s="8">
        <f>SUM(D59:D65)</f>
        <v>0</v>
      </c>
      <c r="E66" s="435"/>
      <c r="F66" s="2"/>
      <c r="G66" s="83" t="str">
        <f t="shared" si="23"/>
        <v>0.00%</v>
      </c>
      <c r="H66" s="8">
        <f>SUM(H59:H65)</f>
        <v>0</v>
      </c>
      <c r="I66" s="461"/>
      <c r="J66" s="29"/>
      <c r="K66" s="83" t="str">
        <f t="shared" si="25"/>
        <v>0.00%</v>
      </c>
      <c r="L66" s="8">
        <f>SUM(L59:L65)</f>
        <v>0</v>
      </c>
      <c r="M66" s="468"/>
      <c r="O66" s="83" t="str">
        <f t="shared" si="26"/>
        <v>0.00%</v>
      </c>
      <c r="P66" s="8">
        <f>SUM(P59:P65)</f>
        <v>0</v>
      </c>
      <c r="Q66" s="468"/>
      <c r="S66" s="83" t="str">
        <f t="shared" si="27"/>
        <v>0.00%</v>
      </c>
      <c r="T66" s="8">
        <f>SUM(T59:T65)</f>
        <v>0</v>
      </c>
      <c r="U66" s="73"/>
      <c r="W66" s="83" t="str">
        <f t="shared" si="28"/>
        <v>0.00%</v>
      </c>
      <c r="X66" s="8">
        <f>SUM(X59:X65)</f>
        <v>0</v>
      </c>
      <c r="Y66" s="73"/>
      <c r="AA66" s="83" t="str">
        <f t="shared" si="29"/>
        <v>0.00%</v>
      </c>
      <c r="AB66" s="8">
        <f>SUM(AB59:AB65)</f>
        <v>0</v>
      </c>
      <c r="AC66" s="73"/>
    </row>
    <row r="67" spans="1:29" x14ac:dyDescent="0.25">
      <c r="A67" s="153"/>
      <c r="E67" s="435"/>
      <c r="F67" s="2"/>
      <c r="H67" s="2"/>
      <c r="I67" s="438"/>
      <c r="J67" s="66"/>
      <c r="L67" s="2"/>
      <c r="M67" s="468"/>
      <c r="Q67" s="468"/>
      <c r="T67" s="2"/>
      <c r="U67" s="73"/>
      <c r="X67" s="2"/>
      <c r="Y67" s="73"/>
      <c r="AB67" s="2"/>
      <c r="AC67" s="73"/>
    </row>
    <row r="68" spans="1:29" s="4" customFormat="1" x14ac:dyDescent="0.25">
      <c r="A68" s="151"/>
      <c r="B68" s="21" t="s">
        <v>16</v>
      </c>
      <c r="C68" s="444"/>
      <c r="D68" s="6"/>
      <c r="E68" s="437"/>
      <c r="F68" s="6"/>
      <c r="G68" s="475"/>
      <c r="H68" s="6"/>
      <c r="I68" s="444"/>
      <c r="J68" s="58"/>
      <c r="K68" s="482"/>
      <c r="L68" s="6"/>
      <c r="M68" s="469"/>
      <c r="O68" s="482"/>
      <c r="P68" s="6"/>
      <c r="Q68" s="469"/>
      <c r="R68" s="111"/>
      <c r="U68" s="71"/>
      <c r="Y68" s="71"/>
      <c r="AC68" s="71"/>
    </row>
    <row r="69" spans="1:29" x14ac:dyDescent="0.25">
      <c r="A69" s="153"/>
      <c r="B69" s="12"/>
      <c r="D69" s="2">
        <v>0</v>
      </c>
      <c r="E69" s="435"/>
      <c r="F69" s="2"/>
      <c r="G69" s="83" t="str">
        <f t="shared" ref="G69:G74" si="35">IF(D69=0,"0.00%",(H69-D69)/D69)</f>
        <v>0.00%</v>
      </c>
      <c r="H69" s="2">
        <f>ROUND(D69*(LEFT(I69,5)+1),0)</f>
        <v>0</v>
      </c>
      <c r="I69" s="458" t="str">
        <f>TEXT('MYP Assumptions'!E72,"0.00%")&amp;", CPI"</f>
        <v>3.11%, CPI</v>
      </c>
      <c r="J69" s="66"/>
      <c r="K69" s="83" t="str">
        <f t="shared" ref="K69:K82" si="36">IF(H69=0,"0.00%",(L69-H69)/H69)</f>
        <v>0.00%</v>
      </c>
      <c r="L69" s="2">
        <f>ROUND(H69*(LEFT(M69,5)+1),0)</f>
        <v>0</v>
      </c>
      <c r="M69" s="458" t="str">
        <f>TEXT('MYP Assumptions'!F72,"0.00%")&amp;", CPI"</f>
        <v>3.19%, CPI</v>
      </c>
      <c r="O69" s="83" t="str">
        <f t="shared" ref="O69:O82" si="37">IF(L69=0,"0.00%",(P69-L69)/L69)</f>
        <v>0.00%</v>
      </c>
      <c r="P69" s="2">
        <f>ROUND(L69*(LEFT(Q69,5)+1),0)</f>
        <v>0</v>
      </c>
      <c r="Q69" s="458" t="str">
        <f>TEXT('MYP Assumptions'!G72,"0.00%")&amp;", CPI"</f>
        <v>2.86%, CPI</v>
      </c>
      <c r="S69" s="83" t="str">
        <f t="shared" ref="S69:S82" si="38">IF(P69=0,"0.00%",(T69-P69)/P69)</f>
        <v>0.00%</v>
      </c>
      <c r="T69" s="2">
        <f>ROUND(P69*(LEFT(U69,5)+1),0)</f>
        <v>0</v>
      </c>
      <c r="U69" s="81" t="str">
        <f>TEXT('MYP Assumptions'!H72,"0.00%")&amp;", CPI"</f>
        <v>2.73%, CPI</v>
      </c>
      <c r="W69" s="83" t="str">
        <f t="shared" ref="W69:W82" si="39">IF(T69=0,"0.00%",(X69-T69)/T69)</f>
        <v>0.00%</v>
      </c>
      <c r="X69" s="2">
        <f>ROUND(T69*(LEFT(Y69,5)+1),0)</f>
        <v>0</v>
      </c>
      <c r="Y69" s="81" t="str">
        <f>TEXT('MYP Assumptions'!I72,"0.00%")&amp;", CPI"</f>
        <v>2.73%, CPI</v>
      </c>
      <c r="AA69" s="83" t="str">
        <f t="shared" ref="AA69:AA82" si="40">IF(X69=0,"0.00%",(AB69-X69)/X69)</f>
        <v>0.00%</v>
      </c>
      <c r="AB69" s="2">
        <f>ROUND(X69*(LEFT(AC69,5)+1),0)</f>
        <v>0</v>
      </c>
      <c r="AC69" s="81" t="str">
        <f>TEXT('MYP Assumptions'!J72,"0.00%")&amp;", CPI"</f>
        <v>2.73%, CPI</v>
      </c>
    </row>
    <row r="70" spans="1:29" x14ac:dyDescent="0.25">
      <c r="A70" s="153"/>
      <c r="B70" s="12"/>
      <c r="D70" s="2">
        <v>0</v>
      </c>
      <c r="E70" s="435"/>
      <c r="F70" s="2"/>
      <c r="G70" s="83" t="str">
        <f t="shared" si="35"/>
        <v>0.00%</v>
      </c>
      <c r="H70" s="2">
        <f>ROUND(D70*(LEFT(I70,5)+1),0)</f>
        <v>0</v>
      </c>
      <c r="I70" s="458" t="str">
        <f>TEXT('MYP Assumptions'!E72,"0.00%")&amp;", CPI"</f>
        <v>3.11%, CPI</v>
      </c>
      <c r="J70" s="66"/>
      <c r="K70" s="83" t="str">
        <f t="shared" si="36"/>
        <v>0.00%</v>
      </c>
      <c r="L70" s="2">
        <f t="shared" ref="L70:L81" si="41">ROUND(H70*(LEFT(M70,5)+1),0)</f>
        <v>0</v>
      </c>
      <c r="M70" s="458" t="str">
        <f>TEXT('MYP Assumptions'!F72,"0.00%")&amp;", CPI"</f>
        <v>3.19%, CPI</v>
      </c>
      <c r="O70" s="83" t="str">
        <f t="shared" si="37"/>
        <v>0.00%</v>
      </c>
      <c r="P70" s="2">
        <f t="shared" ref="P70:P81" si="42">ROUND(L70*(LEFT(Q70,5)+1),0)</f>
        <v>0</v>
      </c>
      <c r="Q70" s="458" t="str">
        <f>TEXT('MYP Assumptions'!G72,"0.00%")&amp;", CPI"</f>
        <v>2.86%, CPI</v>
      </c>
      <c r="S70" s="83" t="str">
        <f t="shared" si="38"/>
        <v>0.00%</v>
      </c>
      <c r="T70" s="2">
        <f t="shared" ref="T70:T81" si="43">ROUND(P70*(LEFT(U70,5)+1),0)</f>
        <v>0</v>
      </c>
      <c r="U70" s="81" t="str">
        <f>TEXT('MYP Assumptions'!H72,"0.00%")&amp;", CPI"</f>
        <v>2.73%, CPI</v>
      </c>
      <c r="W70" s="83" t="str">
        <f t="shared" si="39"/>
        <v>0.00%</v>
      </c>
      <c r="X70" s="2">
        <f t="shared" ref="X70:X81" si="44">ROUND(T70*(LEFT(Y70,5)+1),0)</f>
        <v>0</v>
      </c>
      <c r="Y70" s="81" t="str">
        <f>TEXT('MYP Assumptions'!I72,"0.00%")&amp;", CPI"</f>
        <v>2.73%, CPI</v>
      </c>
      <c r="AA70" s="83" t="str">
        <f t="shared" si="40"/>
        <v>0.00%</v>
      </c>
      <c r="AB70" s="2">
        <f t="shared" ref="AB70:AB81" si="45">ROUND(X70*(LEFT(AC70,5)+1),0)</f>
        <v>0</v>
      </c>
      <c r="AC70" s="81" t="str">
        <f>TEXT('MYP Assumptions'!J72,"0.00%")&amp;", CPI"</f>
        <v>2.73%, CPI</v>
      </c>
    </row>
    <row r="71" spans="1:29" x14ac:dyDescent="0.25">
      <c r="A71" s="153"/>
      <c r="B71" s="12"/>
      <c r="D71" s="2">
        <v>0</v>
      </c>
      <c r="E71" s="435"/>
      <c r="F71" s="2"/>
      <c r="G71" s="83" t="str">
        <f t="shared" si="35"/>
        <v>0.00%</v>
      </c>
      <c r="H71" s="2">
        <f t="shared" ref="H71:H76" si="46">ROUND(D71*(LEFT(I71,5)+1),0)</f>
        <v>0</v>
      </c>
      <c r="I71" s="458" t="str">
        <f>TEXT('MYP Assumptions'!E72,"0.00%")&amp;", CPI"</f>
        <v>3.11%, CPI</v>
      </c>
      <c r="J71" s="66"/>
      <c r="K71" s="83" t="str">
        <f t="shared" si="36"/>
        <v>0.00%</v>
      </c>
      <c r="L71" s="2">
        <f t="shared" si="41"/>
        <v>0</v>
      </c>
      <c r="M71" s="458" t="str">
        <f>TEXT('MYP Assumptions'!F72,"0.00%")&amp;", CPI"</f>
        <v>3.19%, CPI</v>
      </c>
      <c r="O71" s="83" t="str">
        <f t="shared" si="37"/>
        <v>0.00%</v>
      </c>
      <c r="P71" s="2">
        <f t="shared" si="42"/>
        <v>0</v>
      </c>
      <c r="Q71" s="458" t="str">
        <f>TEXT('MYP Assumptions'!G72,"0.00%")&amp;", CPI"</f>
        <v>2.86%, CPI</v>
      </c>
      <c r="S71" s="83" t="str">
        <f t="shared" si="38"/>
        <v>0.00%</v>
      </c>
      <c r="T71" s="2">
        <f t="shared" si="43"/>
        <v>0</v>
      </c>
      <c r="U71" s="81" t="str">
        <f>TEXT('MYP Assumptions'!H72,"0.00%")&amp;", CPI"</f>
        <v>2.73%, CPI</v>
      </c>
      <c r="W71" s="83" t="str">
        <f t="shared" si="39"/>
        <v>0.00%</v>
      </c>
      <c r="X71" s="2">
        <f t="shared" si="44"/>
        <v>0</v>
      </c>
      <c r="Y71" s="81" t="str">
        <f>TEXT('MYP Assumptions'!I72,"0.00%")&amp;", CPI"</f>
        <v>2.73%, CPI</v>
      </c>
      <c r="AA71" s="83" t="str">
        <f t="shared" si="40"/>
        <v>0.00%</v>
      </c>
      <c r="AB71" s="2">
        <f t="shared" si="45"/>
        <v>0</v>
      </c>
      <c r="AC71" s="81" t="str">
        <f>TEXT('MYP Assumptions'!J72,"0.00%")&amp;", CPI"</f>
        <v>2.73%, CPI</v>
      </c>
    </row>
    <row r="72" spans="1:29" x14ac:dyDescent="0.25">
      <c r="A72" s="153"/>
      <c r="B72" s="12"/>
      <c r="D72" s="2">
        <v>0</v>
      </c>
      <c r="E72" s="435"/>
      <c r="F72" s="2"/>
      <c r="G72" s="83" t="str">
        <f t="shared" si="35"/>
        <v>0.00%</v>
      </c>
      <c r="H72" s="2">
        <f t="shared" si="46"/>
        <v>0</v>
      </c>
      <c r="I72" s="458" t="str">
        <f>TEXT('MYP Assumptions'!E72,"0.00%")&amp;", CPI"</f>
        <v>3.11%, CPI</v>
      </c>
      <c r="J72" s="66"/>
      <c r="K72" s="83" t="str">
        <f t="shared" si="36"/>
        <v>0.00%</v>
      </c>
      <c r="L72" s="2">
        <f t="shared" si="41"/>
        <v>0</v>
      </c>
      <c r="M72" s="458" t="str">
        <f>TEXT('MYP Assumptions'!F72,"0.00%")&amp;", CPI"</f>
        <v>3.19%, CPI</v>
      </c>
      <c r="O72" s="83" t="str">
        <f t="shared" si="37"/>
        <v>0.00%</v>
      </c>
      <c r="P72" s="2">
        <f t="shared" si="42"/>
        <v>0</v>
      </c>
      <c r="Q72" s="458" t="str">
        <f>TEXT('MYP Assumptions'!G72,"0.00%")&amp;", CPI"</f>
        <v>2.86%, CPI</v>
      </c>
      <c r="S72" s="83" t="str">
        <f t="shared" si="38"/>
        <v>0.00%</v>
      </c>
      <c r="T72" s="2">
        <f t="shared" si="43"/>
        <v>0</v>
      </c>
      <c r="U72" s="81" t="str">
        <f>TEXT('MYP Assumptions'!H72,"0.00%")&amp;", CPI"</f>
        <v>2.73%, CPI</v>
      </c>
      <c r="W72" s="83" t="str">
        <f t="shared" si="39"/>
        <v>0.00%</v>
      </c>
      <c r="X72" s="2">
        <f t="shared" si="44"/>
        <v>0</v>
      </c>
      <c r="Y72" s="81" t="str">
        <f>TEXT('MYP Assumptions'!I72,"0.00%")&amp;", CPI"</f>
        <v>2.73%, CPI</v>
      </c>
      <c r="AA72" s="83" t="str">
        <f t="shared" si="40"/>
        <v>0.00%</v>
      </c>
      <c r="AB72" s="2">
        <f t="shared" si="45"/>
        <v>0</v>
      </c>
      <c r="AC72" s="81" t="str">
        <f>TEXT('MYP Assumptions'!J72,"0.00%")&amp;", CPI"</f>
        <v>2.73%, CPI</v>
      </c>
    </row>
    <row r="73" spans="1:29" x14ac:dyDescent="0.25">
      <c r="A73" s="153"/>
      <c r="B73" s="12"/>
      <c r="D73" s="2">
        <v>0</v>
      </c>
      <c r="E73" s="435"/>
      <c r="F73" s="2"/>
      <c r="G73" s="83" t="str">
        <f t="shared" si="35"/>
        <v>0.00%</v>
      </c>
      <c r="H73" s="2">
        <f t="shared" si="46"/>
        <v>0</v>
      </c>
      <c r="I73" s="458" t="str">
        <f>TEXT('MYP Assumptions'!E72,"0.00%")&amp;", CPI"</f>
        <v>3.11%, CPI</v>
      </c>
      <c r="J73" s="66"/>
      <c r="K73" s="83" t="str">
        <f t="shared" si="36"/>
        <v>0.00%</v>
      </c>
      <c r="L73" s="2">
        <f t="shared" si="41"/>
        <v>0</v>
      </c>
      <c r="M73" s="458" t="str">
        <f>TEXT('MYP Assumptions'!F72,"0.00%")&amp;", CPI"</f>
        <v>3.19%, CPI</v>
      </c>
      <c r="O73" s="83" t="str">
        <f t="shared" si="37"/>
        <v>0.00%</v>
      </c>
      <c r="P73" s="2">
        <f t="shared" si="42"/>
        <v>0</v>
      </c>
      <c r="Q73" s="458" t="str">
        <f>TEXT('MYP Assumptions'!G72,"0.00%")&amp;", CPI"</f>
        <v>2.86%, CPI</v>
      </c>
      <c r="S73" s="83" t="str">
        <f t="shared" si="38"/>
        <v>0.00%</v>
      </c>
      <c r="T73" s="2">
        <f t="shared" si="43"/>
        <v>0</v>
      </c>
      <c r="U73" s="81" t="str">
        <f>TEXT('MYP Assumptions'!H72,"0.00%")&amp;", CPI"</f>
        <v>2.73%, CPI</v>
      </c>
      <c r="W73" s="83" t="str">
        <f t="shared" si="39"/>
        <v>0.00%</v>
      </c>
      <c r="X73" s="2">
        <f t="shared" si="44"/>
        <v>0</v>
      </c>
      <c r="Y73" s="81" t="str">
        <f>TEXT('MYP Assumptions'!I72,"0.00%")&amp;", CPI"</f>
        <v>2.73%, CPI</v>
      </c>
      <c r="AA73" s="83" t="str">
        <f t="shared" si="40"/>
        <v>0.00%</v>
      </c>
      <c r="AB73" s="2">
        <f t="shared" si="45"/>
        <v>0</v>
      </c>
      <c r="AC73" s="81" t="str">
        <f>TEXT('MYP Assumptions'!J72,"0.00%")&amp;", CPI"</f>
        <v>2.73%, CPI</v>
      </c>
    </row>
    <row r="74" spans="1:29" x14ac:dyDescent="0.25">
      <c r="A74" s="153"/>
      <c r="B74" s="12"/>
      <c r="D74" s="2">
        <v>0</v>
      </c>
      <c r="E74" s="435"/>
      <c r="F74" s="2"/>
      <c r="G74" s="83" t="str">
        <f t="shared" si="35"/>
        <v>0.00%</v>
      </c>
      <c r="H74" s="2">
        <f t="shared" si="46"/>
        <v>0</v>
      </c>
      <c r="I74" s="458" t="str">
        <f>TEXT('MYP Assumptions'!E72,"0.00%")&amp;", CPI"</f>
        <v>3.11%, CPI</v>
      </c>
      <c r="J74" s="66"/>
      <c r="K74" s="83" t="str">
        <f t="shared" si="36"/>
        <v>0.00%</v>
      </c>
      <c r="L74" s="2">
        <f t="shared" si="41"/>
        <v>0</v>
      </c>
      <c r="M74" s="458" t="str">
        <f>TEXT('MYP Assumptions'!F72,"0.00%")&amp;", CPI"</f>
        <v>3.19%, CPI</v>
      </c>
      <c r="O74" s="83" t="str">
        <f t="shared" si="37"/>
        <v>0.00%</v>
      </c>
      <c r="P74" s="2">
        <f t="shared" si="42"/>
        <v>0</v>
      </c>
      <c r="Q74" s="458" t="str">
        <f>TEXT('MYP Assumptions'!G72,"0.00%")&amp;", CPI"</f>
        <v>2.86%, CPI</v>
      </c>
      <c r="S74" s="83" t="str">
        <f t="shared" si="38"/>
        <v>0.00%</v>
      </c>
      <c r="T74" s="2">
        <f t="shared" si="43"/>
        <v>0</v>
      </c>
      <c r="U74" s="81" t="str">
        <f>TEXT('MYP Assumptions'!H72,"0.00%")&amp;", CPI"</f>
        <v>2.73%, CPI</v>
      </c>
      <c r="W74" s="83" t="str">
        <f t="shared" si="39"/>
        <v>0.00%</v>
      </c>
      <c r="X74" s="2">
        <f t="shared" si="44"/>
        <v>0</v>
      </c>
      <c r="Y74" s="81" t="str">
        <f>TEXT('MYP Assumptions'!I72,"0.00%")&amp;", CPI"</f>
        <v>2.73%, CPI</v>
      </c>
      <c r="AA74" s="83" t="str">
        <f t="shared" si="40"/>
        <v>0.00%</v>
      </c>
      <c r="AB74" s="2">
        <f t="shared" si="45"/>
        <v>0</v>
      </c>
      <c r="AC74" s="81" t="str">
        <f>TEXT('MYP Assumptions'!J72,"0.00%")&amp;", CPI"</f>
        <v>2.73%, CPI</v>
      </c>
    </row>
    <row r="75" spans="1:29" x14ac:dyDescent="0.25">
      <c r="A75" s="153"/>
      <c r="B75" s="12"/>
      <c r="D75" s="2">
        <v>0</v>
      </c>
      <c r="E75" s="435"/>
      <c r="F75" s="2"/>
      <c r="G75" s="83" t="str">
        <f>IF(D75=0,"0.00%",(H75-D75)/D75)</f>
        <v>0.00%</v>
      </c>
      <c r="H75" s="2">
        <f t="shared" si="46"/>
        <v>0</v>
      </c>
      <c r="I75" s="458" t="str">
        <f>TEXT('MYP Assumptions'!E72,"0.00%")&amp;", CPI"</f>
        <v>3.11%, CPI</v>
      </c>
      <c r="J75" s="66"/>
      <c r="K75" s="83" t="str">
        <f t="shared" si="36"/>
        <v>0.00%</v>
      </c>
      <c r="L75" s="2">
        <f t="shared" si="41"/>
        <v>0</v>
      </c>
      <c r="M75" s="458" t="str">
        <f>TEXT('MYP Assumptions'!F72,"0.00%")&amp;", CPI"</f>
        <v>3.19%, CPI</v>
      </c>
      <c r="O75" s="83" t="str">
        <f t="shared" si="37"/>
        <v>0.00%</v>
      </c>
      <c r="P75" s="2">
        <f t="shared" si="42"/>
        <v>0</v>
      </c>
      <c r="Q75" s="458" t="str">
        <f>TEXT('MYP Assumptions'!G72,"0.00%")&amp;", CPI"</f>
        <v>2.86%, CPI</v>
      </c>
      <c r="S75" s="83" t="str">
        <f t="shared" si="38"/>
        <v>0.00%</v>
      </c>
      <c r="T75" s="2">
        <f t="shared" si="43"/>
        <v>0</v>
      </c>
      <c r="U75" s="81" t="str">
        <f>TEXT('MYP Assumptions'!H72,"0.00%")&amp;", CPI"</f>
        <v>2.73%, CPI</v>
      </c>
      <c r="W75" s="83" t="str">
        <f t="shared" si="39"/>
        <v>0.00%</v>
      </c>
      <c r="X75" s="2">
        <f t="shared" si="44"/>
        <v>0</v>
      </c>
      <c r="Y75" s="81" t="str">
        <f>TEXT('MYP Assumptions'!I72,"0.00%")&amp;", CPI"</f>
        <v>2.73%, CPI</v>
      </c>
      <c r="AA75" s="83" t="str">
        <f t="shared" si="40"/>
        <v>0.00%</v>
      </c>
      <c r="AB75" s="2">
        <f t="shared" si="45"/>
        <v>0</v>
      </c>
      <c r="AC75" s="81" t="str">
        <f>TEXT('MYP Assumptions'!J72,"0.00%")&amp;", CPI"</f>
        <v>2.73%, CPI</v>
      </c>
    </row>
    <row r="76" spans="1:29" x14ac:dyDescent="0.25">
      <c r="A76" s="153"/>
      <c r="B76" s="12"/>
      <c r="D76" s="2">
        <v>0</v>
      </c>
      <c r="E76" s="435"/>
      <c r="F76" s="2"/>
      <c r="G76" s="83" t="str">
        <f t="shared" ref="G76:G82" si="47">IF(D76=0,"0.00%",(H76-D76)/D76)</f>
        <v>0.00%</v>
      </c>
      <c r="H76" s="2">
        <f t="shared" si="46"/>
        <v>0</v>
      </c>
      <c r="I76" s="458" t="str">
        <f>TEXT('MYP Assumptions'!E72,"0.00%")&amp;", CPI"</f>
        <v>3.11%, CPI</v>
      </c>
      <c r="J76" s="66"/>
      <c r="K76" s="83" t="str">
        <f t="shared" si="36"/>
        <v>0.00%</v>
      </c>
      <c r="L76" s="2">
        <f t="shared" si="41"/>
        <v>0</v>
      </c>
      <c r="M76" s="458" t="str">
        <f>TEXT('MYP Assumptions'!F72,"0.00%")&amp;", CPI"</f>
        <v>3.19%, CPI</v>
      </c>
      <c r="O76" s="83" t="str">
        <f t="shared" si="37"/>
        <v>0.00%</v>
      </c>
      <c r="P76" s="2">
        <f t="shared" si="42"/>
        <v>0</v>
      </c>
      <c r="Q76" s="458" t="str">
        <f>TEXT('MYP Assumptions'!G72,"0.00%")&amp;", CPI"</f>
        <v>2.86%, CPI</v>
      </c>
      <c r="S76" s="83" t="str">
        <f t="shared" si="38"/>
        <v>0.00%</v>
      </c>
      <c r="T76" s="2">
        <f t="shared" si="43"/>
        <v>0</v>
      </c>
      <c r="U76" s="81" t="str">
        <f>TEXT('MYP Assumptions'!H72,"0.00%")&amp;", CPI"</f>
        <v>2.73%, CPI</v>
      </c>
      <c r="W76" s="83" t="str">
        <f t="shared" si="39"/>
        <v>0.00%</v>
      </c>
      <c r="X76" s="2">
        <f t="shared" si="44"/>
        <v>0</v>
      </c>
      <c r="Y76" s="81" t="str">
        <f>TEXT('MYP Assumptions'!I72,"0.00%")&amp;", CPI"</f>
        <v>2.73%, CPI</v>
      </c>
      <c r="AA76" s="83" t="str">
        <f t="shared" si="40"/>
        <v>0.00%</v>
      </c>
      <c r="AB76" s="2">
        <f t="shared" si="45"/>
        <v>0</v>
      </c>
      <c r="AC76" s="81" t="str">
        <f>TEXT('MYP Assumptions'!J72,"0.00%")&amp;", CPI"</f>
        <v>2.73%, CPI</v>
      </c>
    </row>
    <row r="77" spans="1:29" x14ac:dyDescent="0.25">
      <c r="A77" s="153"/>
      <c r="B77" s="12"/>
      <c r="D77" s="2">
        <v>0</v>
      </c>
      <c r="E77" s="435"/>
      <c r="F77" s="2"/>
      <c r="G77" s="83" t="str">
        <f t="shared" si="47"/>
        <v>0.00%</v>
      </c>
      <c r="H77" s="2">
        <f>ROUND(D77*(LEFT(I77,5)+1),0)</f>
        <v>0</v>
      </c>
      <c r="I77" s="458" t="str">
        <f>TEXT('MYP Assumptions'!E72,"0.00%")&amp;", CPI"</f>
        <v>3.11%, CPI</v>
      </c>
      <c r="J77" s="66"/>
      <c r="K77" s="83" t="str">
        <f t="shared" si="36"/>
        <v>0.00%</v>
      </c>
      <c r="L77" s="2">
        <f t="shared" si="41"/>
        <v>0</v>
      </c>
      <c r="M77" s="458" t="str">
        <f>TEXT('MYP Assumptions'!F72,"0.00%")&amp;", CPI"</f>
        <v>3.19%, CPI</v>
      </c>
      <c r="O77" s="83" t="str">
        <f t="shared" si="37"/>
        <v>0.00%</v>
      </c>
      <c r="P77" s="2">
        <f t="shared" si="42"/>
        <v>0</v>
      </c>
      <c r="Q77" s="458" t="str">
        <f>TEXT('MYP Assumptions'!G72,"0.00%")&amp;", CPI"</f>
        <v>2.86%, CPI</v>
      </c>
      <c r="S77" s="83" t="str">
        <f t="shared" si="38"/>
        <v>0.00%</v>
      </c>
      <c r="T77" s="2">
        <f t="shared" si="43"/>
        <v>0</v>
      </c>
      <c r="U77" s="81" t="str">
        <f>TEXT('MYP Assumptions'!H72,"0.00%")&amp;", CPI"</f>
        <v>2.73%, CPI</v>
      </c>
      <c r="W77" s="83" t="str">
        <f t="shared" si="39"/>
        <v>0.00%</v>
      </c>
      <c r="X77" s="2">
        <f t="shared" si="44"/>
        <v>0</v>
      </c>
      <c r="Y77" s="81" t="str">
        <f>TEXT('MYP Assumptions'!I72,"0.00%")&amp;", CPI"</f>
        <v>2.73%, CPI</v>
      </c>
      <c r="AA77" s="83" t="str">
        <f t="shared" si="40"/>
        <v>0.00%</v>
      </c>
      <c r="AB77" s="2">
        <f t="shared" si="45"/>
        <v>0</v>
      </c>
      <c r="AC77" s="81" t="str">
        <f>TEXT('MYP Assumptions'!J72,"0.00%")&amp;", CPI"</f>
        <v>2.73%, CPI</v>
      </c>
    </row>
    <row r="78" spans="1:29" x14ac:dyDescent="0.25">
      <c r="A78" s="153"/>
      <c r="B78" s="12"/>
      <c r="D78" s="2">
        <v>0</v>
      </c>
      <c r="E78" s="435"/>
      <c r="F78" s="2"/>
      <c r="G78" s="83" t="str">
        <f t="shared" si="47"/>
        <v>0.00%</v>
      </c>
      <c r="H78" s="2">
        <f>ROUND(D78*(LEFT(I78,5)+1),0)</f>
        <v>0</v>
      </c>
      <c r="I78" s="458" t="str">
        <f>TEXT('MYP Assumptions'!E72,"0.00%")&amp;", CPI"</f>
        <v>3.11%, CPI</v>
      </c>
      <c r="J78" s="66"/>
      <c r="K78" s="83" t="str">
        <f t="shared" si="36"/>
        <v>0.00%</v>
      </c>
      <c r="L78" s="2">
        <f t="shared" si="41"/>
        <v>0</v>
      </c>
      <c r="M78" s="458" t="str">
        <f>TEXT('MYP Assumptions'!F72,"0.00%")&amp;", CPI"</f>
        <v>3.19%, CPI</v>
      </c>
      <c r="O78" s="83" t="str">
        <f t="shared" si="37"/>
        <v>0.00%</v>
      </c>
      <c r="P78" s="2">
        <f t="shared" si="42"/>
        <v>0</v>
      </c>
      <c r="Q78" s="458" t="str">
        <f>TEXT('MYP Assumptions'!G72,"0.00%")&amp;", CPI"</f>
        <v>2.86%, CPI</v>
      </c>
      <c r="S78" s="83" t="str">
        <f t="shared" si="38"/>
        <v>0.00%</v>
      </c>
      <c r="T78" s="2">
        <f t="shared" si="43"/>
        <v>0</v>
      </c>
      <c r="U78" s="81" t="str">
        <f>TEXT('MYP Assumptions'!H72,"0.00%")&amp;", CPI"</f>
        <v>2.73%, CPI</v>
      </c>
      <c r="W78" s="83" t="str">
        <f t="shared" si="39"/>
        <v>0.00%</v>
      </c>
      <c r="X78" s="2">
        <f t="shared" si="44"/>
        <v>0</v>
      </c>
      <c r="Y78" s="81" t="str">
        <f>TEXT('MYP Assumptions'!I72,"0.00%")&amp;", CPI"</f>
        <v>2.73%, CPI</v>
      </c>
      <c r="AA78" s="83" t="str">
        <f t="shared" si="40"/>
        <v>0.00%</v>
      </c>
      <c r="AB78" s="2">
        <f t="shared" si="45"/>
        <v>0</v>
      </c>
      <c r="AC78" s="81" t="str">
        <f>TEXT('MYP Assumptions'!J72,"0.00%")&amp;", CPI"</f>
        <v>2.73%, CPI</v>
      </c>
    </row>
    <row r="79" spans="1:29" x14ac:dyDescent="0.25">
      <c r="A79" s="153"/>
      <c r="B79" s="12"/>
      <c r="D79" s="2">
        <v>0</v>
      </c>
      <c r="E79" s="435"/>
      <c r="F79" s="2"/>
      <c r="G79" s="83" t="str">
        <f t="shared" si="47"/>
        <v>0.00%</v>
      </c>
      <c r="H79" s="2">
        <f>ROUND(D79*(LEFT(I79,5)+1),0)</f>
        <v>0</v>
      </c>
      <c r="I79" s="458" t="str">
        <f>TEXT('MYP Assumptions'!E72,"0.00%")&amp;", CPI"</f>
        <v>3.11%, CPI</v>
      </c>
      <c r="J79" s="66"/>
      <c r="K79" s="83" t="str">
        <f t="shared" si="36"/>
        <v>0.00%</v>
      </c>
      <c r="L79" s="2">
        <f t="shared" si="41"/>
        <v>0</v>
      </c>
      <c r="M79" s="458" t="str">
        <f>TEXT('MYP Assumptions'!F72,"0.00%")&amp;", CPI"</f>
        <v>3.19%, CPI</v>
      </c>
      <c r="O79" s="83" t="str">
        <f t="shared" si="37"/>
        <v>0.00%</v>
      </c>
      <c r="P79" s="2">
        <f t="shared" si="42"/>
        <v>0</v>
      </c>
      <c r="Q79" s="458" t="str">
        <f>TEXT('MYP Assumptions'!G72,"0.00%")&amp;", CPI"</f>
        <v>2.86%, CPI</v>
      </c>
      <c r="S79" s="83" t="str">
        <f t="shared" si="38"/>
        <v>0.00%</v>
      </c>
      <c r="T79" s="2">
        <f t="shared" si="43"/>
        <v>0</v>
      </c>
      <c r="U79" s="81" t="str">
        <f>TEXT('MYP Assumptions'!H72,"0.00%")&amp;", CPI"</f>
        <v>2.73%, CPI</v>
      </c>
      <c r="W79" s="83" t="str">
        <f t="shared" si="39"/>
        <v>0.00%</v>
      </c>
      <c r="X79" s="2">
        <f t="shared" si="44"/>
        <v>0</v>
      </c>
      <c r="Y79" s="81" t="str">
        <f>TEXT('MYP Assumptions'!I72,"0.00%")&amp;", CPI"</f>
        <v>2.73%, CPI</v>
      </c>
      <c r="AA79" s="83" t="str">
        <f t="shared" si="40"/>
        <v>0.00%</v>
      </c>
      <c r="AB79" s="2">
        <f t="shared" si="45"/>
        <v>0</v>
      </c>
      <c r="AC79" s="81" t="str">
        <f>TEXT('MYP Assumptions'!J72,"0.00%")&amp;", CPI"</f>
        <v>2.73%, CPI</v>
      </c>
    </row>
    <row r="80" spans="1:29" x14ac:dyDescent="0.25">
      <c r="A80" s="153"/>
      <c r="B80" s="12"/>
      <c r="D80" s="2">
        <v>0</v>
      </c>
      <c r="E80" s="435"/>
      <c r="F80" s="2"/>
      <c r="G80" s="83" t="str">
        <f t="shared" si="47"/>
        <v>0.00%</v>
      </c>
      <c r="H80" s="2">
        <f>ROUND(D80*(LEFT(I80,5)+1),0)</f>
        <v>0</v>
      </c>
      <c r="I80" s="458" t="str">
        <f>TEXT('MYP Assumptions'!E72,"0.00%")&amp;", CPI"</f>
        <v>3.11%, CPI</v>
      </c>
      <c r="J80" s="66"/>
      <c r="K80" s="83" t="str">
        <f t="shared" si="36"/>
        <v>0.00%</v>
      </c>
      <c r="L80" s="2">
        <f t="shared" si="41"/>
        <v>0</v>
      </c>
      <c r="M80" s="458" t="str">
        <f>TEXT('MYP Assumptions'!F72,"0.00%")&amp;", CPI"</f>
        <v>3.19%, CPI</v>
      </c>
      <c r="O80" s="83" t="str">
        <f t="shared" si="37"/>
        <v>0.00%</v>
      </c>
      <c r="P80" s="2">
        <f t="shared" si="42"/>
        <v>0</v>
      </c>
      <c r="Q80" s="458" t="str">
        <f>TEXT('MYP Assumptions'!G72,"0.00%")&amp;", CPI"</f>
        <v>2.86%, CPI</v>
      </c>
      <c r="S80" s="83" t="str">
        <f t="shared" si="38"/>
        <v>0.00%</v>
      </c>
      <c r="T80" s="2">
        <f t="shared" si="43"/>
        <v>0</v>
      </c>
      <c r="U80" s="81" t="str">
        <f>TEXT('MYP Assumptions'!H72,"0.00%")&amp;", CPI"</f>
        <v>2.73%, CPI</v>
      </c>
      <c r="W80" s="83" t="str">
        <f t="shared" si="39"/>
        <v>0.00%</v>
      </c>
      <c r="X80" s="2">
        <f t="shared" si="44"/>
        <v>0</v>
      </c>
      <c r="Y80" s="81" t="str">
        <f>TEXT('MYP Assumptions'!I72,"0.00%")&amp;", CPI"</f>
        <v>2.73%, CPI</v>
      </c>
      <c r="AA80" s="83" t="str">
        <f t="shared" si="40"/>
        <v>0.00%</v>
      </c>
      <c r="AB80" s="2">
        <f t="shared" si="45"/>
        <v>0</v>
      </c>
      <c r="AC80" s="81" t="str">
        <f>TEXT('MYP Assumptions'!J72,"0.00%")&amp;", CPI"</f>
        <v>2.73%, CPI</v>
      </c>
    </row>
    <row r="81" spans="1:29" x14ac:dyDescent="0.25">
      <c r="A81" s="153"/>
      <c r="B81" s="12"/>
      <c r="D81" s="2">
        <f>'RS 3010-ALL'!AF80</f>
        <v>0</v>
      </c>
      <c r="E81" s="435"/>
      <c r="F81" s="2"/>
      <c r="G81" s="83" t="str">
        <f t="shared" si="47"/>
        <v>0.00%</v>
      </c>
      <c r="H81" s="2">
        <f>ROUND(D81*(LEFT(I81,5)+1),0)</f>
        <v>0</v>
      </c>
      <c r="I81" s="458" t="str">
        <f>TEXT('MYP Assumptions'!E72,"0.00%")&amp;", CPI"</f>
        <v>3.11%, CPI</v>
      </c>
      <c r="J81" s="66"/>
      <c r="K81" s="83" t="str">
        <f t="shared" si="36"/>
        <v>0.00%</v>
      </c>
      <c r="L81" s="2">
        <f t="shared" si="41"/>
        <v>0</v>
      </c>
      <c r="M81" s="458" t="str">
        <f>TEXT('MYP Assumptions'!F72,"0.00%")&amp;", CPI"</f>
        <v>3.19%, CPI</v>
      </c>
      <c r="O81" s="83" t="str">
        <f t="shared" si="37"/>
        <v>0.00%</v>
      </c>
      <c r="P81" s="2">
        <f t="shared" si="42"/>
        <v>0</v>
      </c>
      <c r="Q81" s="458" t="str">
        <f>TEXT('MYP Assumptions'!G72,"0.00%")&amp;", CPI"</f>
        <v>2.86%, CPI</v>
      </c>
      <c r="S81" s="83" t="str">
        <f t="shared" si="38"/>
        <v>0.00%</v>
      </c>
      <c r="T81" s="2">
        <f t="shared" si="43"/>
        <v>0</v>
      </c>
      <c r="U81" s="81" t="str">
        <f>TEXT('MYP Assumptions'!H72,"0.00%")&amp;", CPI"</f>
        <v>2.73%, CPI</v>
      </c>
      <c r="W81" s="83" t="str">
        <f t="shared" si="39"/>
        <v>0.00%</v>
      </c>
      <c r="X81" s="2">
        <f t="shared" si="44"/>
        <v>0</v>
      </c>
      <c r="Y81" s="81" t="str">
        <f>TEXT('MYP Assumptions'!I72,"0.00%")&amp;", CPI"</f>
        <v>2.73%, CPI</v>
      </c>
      <c r="AA81" s="83" t="str">
        <f t="shared" si="40"/>
        <v>0.00%</v>
      </c>
      <c r="AB81" s="2">
        <f t="shared" si="45"/>
        <v>0</v>
      </c>
      <c r="AC81" s="81" t="str">
        <f>TEXT('MYP Assumptions'!J72,"0.00%")&amp;", CPI"</f>
        <v>2.73%, CPI</v>
      </c>
    </row>
    <row r="82" spans="1:29" x14ac:dyDescent="0.25">
      <c r="A82" s="154"/>
      <c r="D82" s="8">
        <f>SUM(D69:D81)</f>
        <v>0</v>
      </c>
      <c r="E82" s="435"/>
      <c r="F82" s="2"/>
      <c r="G82" s="83" t="str">
        <f t="shared" si="47"/>
        <v>0.00%</v>
      </c>
      <c r="H82" s="8">
        <f>SUM(H69:H81)</f>
        <v>0</v>
      </c>
      <c r="I82" s="461"/>
      <c r="J82" s="29"/>
      <c r="K82" s="83" t="str">
        <f t="shared" si="36"/>
        <v>0.00%</v>
      </c>
      <c r="L82" s="8">
        <f>SUM(L69:L81)</f>
        <v>0</v>
      </c>
      <c r="M82" s="468"/>
      <c r="O82" s="83" t="str">
        <f t="shared" si="37"/>
        <v>0.00%</v>
      </c>
      <c r="P82" s="8">
        <f>SUM(P69:P81)</f>
        <v>0</v>
      </c>
      <c r="Q82" s="468"/>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3"/>
      <c r="B83" s="21"/>
      <c r="E83" s="435"/>
      <c r="F83" s="2"/>
      <c r="G83" s="83"/>
      <c r="H83" s="2"/>
      <c r="I83" s="438"/>
      <c r="J83" s="66"/>
      <c r="L83" s="2"/>
      <c r="M83" s="468"/>
      <c r="Q83" s="468"/>
      <c r="T83" s="2"/>
      <c r="U83" s="73"/>
      <c r="X83" s="2"/>
      <c r="Y83" s="73"/>
      <c r="AB83" s="2"/>
      <c r="AC83" s="73"/>
    </row>
    <row r="84" spans="1:29" x14ac:dyDescent="0.25">
      <c r="A84" s="153"/>
      <c r="E84" s="435"/>
      <c r="F84" s="2"/>
      <c r="H84" s="2"/>
      <c r="I84" s="438"/>
      <c r="J84" s="66"/>
      <c r="L84" s="2"/>
      <c r="M84" s="468"/>
      <c r="Q84" s="468"/>
      <c r="T84" s="2"/>
      <c r="U84" s="73"/>
      <c r="X84" s="2"/>
      <c r="Y84" s="73"/>
      <c r="AB84" s="2"/>
      <c r="AC84" s="73"/>
    </row>
    <row r="85" spans="1:29" x14ac:dyDescent="0.25">
      <c r="A85" s="154"/>
      <c r="B85" s="21" t="s">
        <v>0</v>
      </c>
      <c r="D85" s="8">
        <f>SUM(D82,D66,D55,D13)</f>
        <v>0</v>
      </c>
      <c r="E85" s="435"/>
      <c r="F85" s="2"/>
      <c r="G85" s="83" t="str">
        <f>IF(D85=0,"0.00%",(H85-D85)/D85)</f>
        <v>0.00%</v>
      </c>
      <c r="H85" s="8">
        <f>SUM(H82,H66,H55,H13)</f>
        <v>0</v>
      </c>
      <c r="I85" s="461"/>
      <c r="J85" s="29"/>
      <c r="K85" s="83" t="str">
        <f>IF(H85=0,"0.00%",(L85-H85)/H85)</f>
        <v>0.00%</v>
      </c>
      <c r="L85" s="8">
        <f>SUM(L82,L66,L55,L13)</f>
        <v>0</v>
      </c>
      <c r="M85" s="468"/>
      <c r="O85" s="83" t="str">
        <f>IF(L85=0,"0.00%",(P85-L85)/L85)</f>
        <v>0.00%</v>
      </c>
      <c r="P85" s="8">
        <f>SUM(P82,P66,P55,P13)</f>
        <v>0</v>
      </c>
      <c r="Q85" s="468"/>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3"/>
      <c r="E86" s="435"/>
      <c r="F86" s="2"/>
      <c r="H86" s="2"/>
      <c r="I86" s="438"/>
      <c r="J86" s="66"/>
      <c r="L86" s="2"/>
      <c r="M86" s="468"/>
      <c r="Q86" s="468"/>
      <c r="T86" s="2"/>
      <c r="U86" s="73"/>
      <c r="X86" s="2"/>
      <c r="Y86" s="73"/>
      <c r="AB86" s="2"/>
      <c r="AC86" s="73"/>
    </row>
    <row r="87" spans="1:29" x14ac:dyDescent="0.25">
      <c r="A87" s="153"/>
      <c r="B87" s="21" t="s">
        <v>138</v>
      </c>
      <c r="D87" s="3">
        <f>D11-D85</f>
        <v>0</v>
      </c>
      <c r="G87" s="83" t="str">
        <f>IF(D87=0,"0.00%",(H87-D87)/D87)</f>
        <v>0.00%</v>
      </c>
      <c r="H87" s="3">
        <f>H11-H85</f>
        <v>0</v>
      </c>
      <c r="I87" s="438"/>
      <c r="J87" s="66"/>
      <c r="K87" s="83" t="str">
        <f>IF(H87=0,"0.00%",(L87-H87)/H87)</f>
        <v>0.00%</v>
      </c>
      <c r="L87" s="3">
        <f>L11-L85</f>
        <v>0</v>
      </c>
      <c r="M87" s="468"/>
      <c r="O87" s="83" t="str">
        <f>IF(L87=0,"0.00%",(P87-L87)/L87)</f>
        <v>0.00%</v>
      </c>
      <c r="P87" s="3">
        <f>P11-P85</f>
        <v>0</v>
      </c>
      <c r="Q87" s="468"/>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21"/>
      <c r="C88" s="20"/>
      <c r="D88" s="3"/>
      <c r="H88" s="3"/>
      <c r="I88" s="438"/>
      <c r="J88" s="66"/>
      <c r="L88" s="3"/>
      <c r="M88" s="468"/>
      <c r="P88" s="3"/>
      <c r="Q88" s="468"/>
      <c r="T88" s="44"/>
      <c r="U88" s="73"/>
      <c r="X88" s="44"/>
      <c r="Y88" s="73"/>
      <c r="AB88" s="44"/>
      <c r="AC88" s="73"/>
    </row>
    <row r="89" spans="1:29" x14ac:dyDescent="0.25">
      <c r="B89" s="21" t="s">
        <v>136</v>
      </c>
      <c r="C89" s="102"/>
      <c r="D89" s="3">
        <f>D7+D87</f>
        <v>0</v>
      </c>
      <c r="G89" s="83" t="str">
        <f>IF(D89=0,"0.00%",(H89-D89)/D89)</f>
        <v>0.00%</v>
      </c>
      <c r="H89" s="3">
        <f>H7+H87</f>
        <v>0</v>
      </c>
      <c r="I89" s="438"/>
      <c r="J89" s="66"/>
      <c r="K89" s="83" t="str">
        <f>IF(H89=0,"0.00%",(L89-H89)/H89)</f>
        <v>0.00%</v>
      </c>
      <c r="L89" s="3">
        <f>L7+L87</f>
        <v>0</v>
      </c>
      <c r="M89" s="468"/>
      <c r="O89" s="83" t="str">
        <f>IF(L89=0,"0.00%",(P89-L89)/L89)</f>
        <v>0.00%</v>
      </c>
      <c r="P89" s="3">
        <f>P7+P87</f>
        <v>0</v>
      </c>
      <c r="Q89" s="468"/>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444"/>
      <c r="G90" s="476"/>
      <c r="H90" s="5"/>
      <c r="I90" s="461"/>
      <c r="J90" s="29"/>
      <c r="L90" s="5"/>
      <c r="M90" s="468"/>
      <c r="P90" s="5"/>
      <c r="Q90" s="468"/>
      <c r="T90" s="5"/>
      <c r="U90" s="73"/>
      <c r="X90" s="5"/>
      <c r="Y90" s="73"/>
      <c r="AB90" s="5"/>
      <c r="AC90" s="73"/>
    </row>
    <row r="91" spans="1:29" x14ac:dyDescent="0.25">
      <c r="C91" s="446"/>
      <c r="G91" s="476"/>
      <c r="H91" s="36"/>
      <c r="I91" s="438"/>
      <c r="J91" s="66"/>
      <c r="L91" s="2"/>
      <c r="M91" s="468"/>
      <c r="Q91" s="468"/>
      <c r="T91" s="2"/>
      <c r="U91" s="73"/>
      <c r="X91" s="2"/>
      <c r="Y91" s="73"/>
      <c r="AB91" s="2"/>
      <c r="AC91" s="73"/>
    </row>
    <row r="92" spans="1:29" x14ac:dyDescent="0.25">
      <c r="C92" s="446"/>
      <c r="G92" s="476"/>
      <c r="H92" s="36"/>
      <c r="I92" s="438"/>
      <c r="J92" s="66"/>
      <c r="L92" s="2"/>
      <c r="M92" s="468"/>
      <c r="Q92" s="468"/>
      <c r="T92" s="2"/>
      <c r="U92" s="73"/>
      <c r="X92" s="2"/>
      <c r="Y92" s="73"/>
      <c r="AB92" s="2"/>
      <c r="AC92" s="73"/>
    </row>
    <row r="93" spans="1:29" x14ac:dyDescent="0.25">
      <c r="C93" s="446"/>
      <c r="G93" s="476"/>
      <c r="H93" s="36"/>
      <c r="I93" s="438"/>
      <c r="J93" s="66"/>
      <c r="L93" s="2"/>
      <c r="M93" s="468"/>
      <c r="Q93" s="468"/>
      <c r="T93" s="2"/>
      <c r="U93" s="73"/>
      <c r="X93" s="2"/>
      <c r="Y93" s="73"/>
      <c r="AB93" s="2"/>
      <c r="AC93" s="73"/>
    </row>
    <row r="94" spans="1:29" x14ac:dyDescent="0.25">
      <c r="C94" s="446"/>
      <c r="G94" s="476"/>
      <c r="H94" s="36"/>
      <c r="I94" s="438"/>
      <c r="J94" s="66"/>
      <c r="L94" s="2"/>
      <c r="M94" s="468"/>
      <c r="Q94" s="468"/>
      <c r="T94" s="2"/>
      <c r="U94" s="73"/>
      <c r="X94" s="2"/>
      <c r="Y94" s="73"/>
      <c r="AB94" s="2"/>
      <c r="AC94" s="73"/>
    </row>
    <row r="95" spans="1:29" s="138" customFormat="1" ht="11.25" x14ac:dyDescent="0.2">
      <c r="A95" s="157"/>
      <c r="B95" s="133"/>
      <c r="C95" s="447" t="s">
        <v>226</v>
      </c>
      <c r="D95" s="135">
        <f>+D82+D66+D53+D41+D30</f>
        <v>0</v>
      </c>
      <c r="E95" s="459"/>
      <c r="G95" s="134" t="s">
        <v>226</v>
      </c>
      <c r="H95" s="135">
        <f>+H82+H66+H53+H41+H30</f>
        <v>0</v>
      </c>
      <c r="I95" s="462"/>
      <c r="J95" s="136"/>
      <c r="K95" s="134" t="s">
        <v>226</v>
      </c>
      <c r="L95" s="135">
        <f>+L82+L66+L53+L41+L30</f>
        <v>0</v>
      </c>
      <c r="M95" s="465"/>
      <c r="O95" s="134" t="s">
        <v>226</v>
      </c>
      <c r="P95" s="135">
        <f>+P82+P66+P53+P41+P30</f>
        <v>0</v>
      </c>
      <c r="Q95" s="465"/>
      <c r="R95" s="140"/>
      <c r="S95" s="134" t="s">
        <v>226</v>
      </c>
      <c r="T95" s="135">
        <f>+T82+T66+T53+T41+T30</f>
        <v>0</v>
      </c>
      <c r="U95" s="139"/>
      <c r="W95" s="134" t="s">
        <v>226</v>
      </c>
      <c r="X95" s="135">
        <f>+X82+X66+X53+X41+X30</f>
        <v>0</v>
      </c>
      <c r="Y95" s="139"/>
      <c r="AA95" s="134" t="s">
        <v>226</v>
      </c>
      <c r="AB95" s="135">
        <f>+AB82+AB66+AB53+AB41+AB30</f>
        <v>0</v>
      </c>
      <c r="AC95" s="139"/>
    </row>
    <row r="96" spans="1:29" s="138" customFormat="1" ht="11.25" x14ac:dyDescent="0.2">
      <c r="A96" s="159"/>
      <c r="B96" s="133"/>
      <c r="C96" s="448" t="s">
        <v>227</v>
      </c>
      <c r="D96" s="143">
        <f>+D13</f>
        <v>0</v>
      </c>
      <c r="E96" s="453"/>
      <c r="F96" s="145"/>
      <c r="G96" s="477" t="s">
        <v>227</v>
      </c>
      <c r="H96" s="143">
        <f>+H13</f>
        <v>0</v>
      </c>
      <c r="I96" s="460"/>
      <c r="J96" s="144"/>
      <c r="K96" s="477" t="s">
        <v>227</v>
      </c>
      <c r="L96" s="143">
        <f>+L13</f>
        <v>0</v>
      </c>
      <c r="M96" s="465"/>
      <c r="O96" s="477" t="s">
        <v>227</v>
      </c>
      <c r="P96" s="143">
        <f>+P13</f>
        <v>0</v>
      </c>
      <c r="Q96" s="459"/>
      <c r="R96" s="140"/>
      <c r="S96" s="142" t="s">
        <v>227</v>
      </c>
      <c r="T96" s="143">
        <f>+T13</f>
        <v>0</v>
      </c>
      <c r="W96" s="142" t="s">
        <v>227</v>
      </c>
      <c r="X96" s="143">
        <f>+X13</f>
        <v>0</v>
      </c>
      <c r="AA96" s="142" t="s">
        <v>227</v>
      </c>
      <c r="AB96" s="143">
        <f>+AB13</f>
        <v>0</v>
      </c>
    </row>
    <row r="97" spans="1:28" s="138" customFormat="1" ht="11.25" x14ac:dyDescent="0.2">
      <c r="A97" s="159"/>
      <c r="B97" s="133"/>
      <c r="C97" s="448"/>
      <c r="D97" s="146">
        <f>+D95+D96</f>
        <v>0</v>
      </c>
      <c r="E97" s="453"/>
      <c r="F97" s="145"/>
      <c r="G97" s="477"/>
      <c r="H97" s="146">
        <f>+H95+H96</f>
        <v>0</v>
      </c>
      <c r="I97" s="460"/>
      <c r="J97" s="144"/>
      <c r="K97" s="477"/>
      <c r="L97" s="146">
        <f>+L95+L96</f>
        <v>0</v>
      </c>
      <c r="M97" s="459"/>
      <c r="O97" s="477"/>
      <c r="P97" s="146">
        <f>+P95+P96</f>
        <v>0</v>
      </c>
      <c r="Q97" s="459"/>
      <c r="R97" s="140"/>
      <c r="S97" s="142"/>
      <c r="T97" s="146">
        <f>+T95+T96</f>
        <v>0</v>
      </c>
      <c r="W97" s="142"/>
      <c r="X97" s="146">
        <f>+X95+X96</f>
        <v>0</v>
      </c>
      <c r="AA97" s="142"/>
      <c r="AB97" s="146">
        <f>+AB95+AB96</f>
        <v>0</v>
      </c>
    </row>
    <row r="98" spans="1:28" ht="15" customHeight="1" x14ac:dyDescent="0.25">
      <c r="A98" s="153"/>
      <c r="B98" s="449"/>
      <c r="C98" s="449"/>
      <c r="D98" s="5">
        <f>+D85-D97</f>
        <v>0</v>
      </c>
      <c r="E98" s="435"/>
      <c r="F98" s="2"/>
      <c r="G98" s="478"/>
      <c r="H98" s="5">
        <f>+H85-H97</f>
        <v>0</v>
      </c>
      <c r="K98" s="478"/>
      <c r="L98" s="5">
        <f>+L85-L97</f>
        <v>0</v>
      </c>
      <c r="O98" s="478"/>
      <c r="P98" s="5">
        <f>+P85-P97</f>
        <v>0</v>
      </c>
      <c r="S98" s="103"/>
      <c r="T98" s="5">
        <f>+T85-T97</f>
        <v>0</v>
      </c>
      <c r="W98" s="103"/>
      <c r="X98" s="5">
        <f>+X85-X97</f>
        <v>0</v>
      </c>
      <c r="AA98" s="103"/>
      <c r="AB98" s="5">
        <f>+AB85-AB97</f>
        <v>0</v>
      </c>
    </row>
    <row r="99" spans="1:28" x14ac:dyDescent="0.25">
      <c r="A99" s="153"/>
      <c r="B99" s="449"/>
      <c r="C99" s="449"/>
      <c r="D99" s="36"/>
      <c r="E99" s="435"/>
      <c r="F99" s="2"/>
    </row>
    <row r="100" spans="1:28" x14ac:dyDescent="0.25">
      <c r="A100" s="153"/>
      <c r="B100" s="102"/>
      <c r="C100" s="446"/>
      <c r="D100" s="25"/>
      <c r="E100" s="435"/>
      <c r="F100" s="2"/>
    </row>
    <row r="101" spans="1:28" x14ac:dyDescent="0.25">
      <c r="B101" s="102"/>
      <c r="C101" s="446"/>
      <c r="D101" s="36"/>
    </row>
    <row r="102" spans="1:28" x14ac:dyDescent="0.25">
      <c r="B102" s="102"/>
      <c r="C102" s="446"/>
      <c r="D102" s="36"/>
    </row>
    <row r="103" spans="1:28" ht="15" customHeight="1" x14ac:dyDescent="0.25">
      <c r="B103" s="102"/>
      <c r="C103" s="446"/>
      <c r="D103" s="36"/>
    </row>
    <row r="104" spans="1:28" x14ac:dyDescent="0.25">
      <c r="B104" s="102"/>
      <c r="C104" s="446"/>
      <c r="D104" s="36"/>
    </row>
    <row r="105" spans="1:28" x14ac:dyDescent="0.25">
      <c r="B105" s="102"/>
      <c r="C105" s="446"/>
      <c r="D105" s="36"/>
    </row>
    <row r="106" spans="1:28" ht="15" customHeight="1" x14ac:dyDescent="0.25">
      <c r="B106" s="2158"/>
      <c r="C106" s="2158"/>
      <c r="D106" s="36"/>
    </row>
    <row r="107" spans="1:28" x14ac:dyDescent="0.25">
      <c r="B107" s="2158"/>
      <c r="C107" s="2158"/>
      <c r="D107" s="36"/>
    </row>
    <row r="108" spans="1:28" x14ac:dyDescent="0.25">
      <c r="B108" s="102"/>
      <c r="C108" s="446"/>
      <c r="D108" s="6"/>
    </row>
    <row r="109" spans="1:28" x14ac:dyDescent="0.25">
      <c r="B109" s="102"/>
      <c r="C109" s="446"/>
      <c r="D109" s="36"/>
    </row>
    <row r="110" spans="1:28" x14ac:dyDescent="0.25">
      <c r="B110" s="102"/>
      <c r="C110" s="446"/>
      <c r="D110" s="36"/>
    </row>
    <row r="111" spans="1:28" ht="28.5" customHeight="1" x14ac:dyDescent="0.25">
      <c r="B111" s="102"/>
      <c r="C111" s="446"/>
      <c r="D111" s="25"/>
    </row>
    <row r="112" spans="1:28" x14ac:dyDescent="0.25">
      <c r="B112" s="102"/>
      <c r="C112" s="446"/>
      <c r="D112" s="36"/>
    </row>
    <row r="113" spans="2:4" x14ac:dyDescent="0.25">
      <c r="B113" s="102"/>
      <c r="C113" s="446"/>
      <c r="D113" s="36"/>
    </row>
    <row r="114" spans="2:4" x14ac:dyDescent="0.25">
      <c r="B114" s="102"/>
      <c r="C114" s="446"/>
      <c r="D114" s="36"/>
    </row>
    <row r="115" spans="2:4" x14ac:dyDescent="0.25">
      <c r="B115" s="102"/>
      <c r="C115" s="446"/>
      <c r="D115" s="36"/>
    </row>
    <row r="116" spans="2:4" x14ac:dyDescent="0.25">
      <c r="B116" s="102"/>
      <c r="C116" s="446"/>
      <c r="D116" s="36"/>
    </row>
    <row r="117" spans="2:4" x14ac:dyDescent="0.25">
      <c r="B117" s="102"/>
      <c r="C117" s="446"/>
      <c r="D117" s="36"/>
    </row>
    <row r="118" spans="2:4" x14ac:dyDescent="0.25">
      <c r="B118" s="102"/>
      <c r="C118" s="446"/>
      <c r="D118" s="36"/>
    </row>
    <row r="119" spans="2:4" x14ac:dyDescent="0.25">
      <c r="B119" s="102"/>
      <c r="C119" s="446"/>
      <c r="D119" s="36"/>
    </row>
    <row r="120" spans="2:4" x14ac:dyDescent="0.25">
      <c r="B120" s="102"/>
      <c r="C120" s="446"/>
      <c r="D120" s="36"/>
    </row>
    <row r="121" spans="2:4" x14ac:dyDescent="0.25">
      <c r="B121" s="102"/>
      <c r="C121" s="446"/>
      <c r="D121" s="36"/>
    </row>
    <row r="122" spans="2:4" x14ac:dyDescent="0.25">
      <c r="B122" s="102"/>
      <c r="C122" s="446"/>
      <c r="D122" s="36"/>
    </row>
    <row r="123" spans="2:4" x14ac:dyDescent="0.25">
      <c r="B123" s="102"/>
      <c r="C123" s="446"/>
      <c r="D123" s="36"/>
    </row>
    <row r="124" spans="2:4" x14ac:dyDescent="0.25">
      <c r="B124" s="102"/>
      <c r="C124" s="446"/>
      <c r="D124" s="36"/>
    </row>
    <row r="125" spans="2:4" x14ac:dyDescent="0.25">
      <c r="B125" s="102"/>
      <c r="C125" s="446"/>
      <c r="D125" s="36"/>
    </row>
    <row r="126" spans="2:4" x14ac:dyDescent="0.25">
      <c r="B126" s="102"/>
      <c r="C126" s="446"/>
      <c r="D126" s="36"/>
    </row>
  </sheetData>
  <mergeCells count="1">
    <mergeCell ref="B106:C107"/>
  </mergeCells>
  <pageMargins left="0.25" right="0.25" top="0.17" bottom="0.17" header="0.17" footer="0.17"/>
  <pageSetup paperSize="17" scale="39" orientation="landscape" r:id="rId1"/>
  <headerFooter>
    <oddHeader>&amp;R&amp;A</oddHeader>
    <oddFooter>&amp;L&amp;F&amp;R&amp;A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S141"/>
  <sheetViews>
    <sheetView showGridLines="0" tabSelected="1" zoomScaleNormal="100" workbookViewId="0">
      <pane xSplit="5" ySplit="1" topLeftCell="F2" activePane="bottomRight" state="frozen"/>
      <selection activeCell="F2" sqref="F2"/>
      <selection pane="topRight" activeCell="F2" sqref="F2"/>
      <selection pane="bottomLeft" activeCell="F2" sqref="F2"/>
      <selection pane="bottomRight" activeCell="F2" sqref="F2"/>
    </sheetView>
  </sheetViews>
  <sheetFormatPr defaultRowHeight="15.75" x14ac:dyDescent="0.25"/>
  <cols>
    <col min="1" max="1" width="1.28515625" style="2101" customWidth="1"/>
    <col min="2" max="3" width="2" style="2101" customWidth="1"/>
    <col min="4" max="4" width="61.85546875" style="2101" customWidth="1"/>
    <col min="5" max="5" width="1.42578125" style="222" hidden="1" customWidth="1"/>
    <col min="6" max="9" width="21.7109375" style="222" customWidth="1"/>
    <col min="10" max="12" width="20.28515625" style="222" hidden="1" customWidth="1"/>
    <col min="13" max="13" width="6.28515625" style="374" customWidth="1"/>
    <col min="14" max="17" width="17.5703125" style="944" hidden="1" customWidth="1"/>
    <col min="18" max="18" width="18.5703125" style="944" customWidth="1"/>
    <col min="19" max="19" width="30.85546875" style="265" bestFit="1" customWidth="1"/>
    <col min="20" max="16384" width="9.140625" style="265"/>
  </cols>
  <sheetData>
    <row r="1" spans="1:19" s="309" customFormat="1" ht="42.75" customHeight="1" thickTop="1" x14ac:dyDescent="0.3">
      <c r="A1" s="2053" t="s">
        <v>401</v>
      </c>
      <c r="B1" s="2054"/>
      <c r="C1" s="2054"/>
      <c r="D1" s="2055"/>
      <c r="E1" s="219" t="s">
        <v>411</v>
      </c>
      <c r="F1" s="1791" t="str">
        <f t="shared" ref="F1:L1" si="0">LEFT(E1,4)+1&amp;"-"&amp;RIGHT(E1,4)+1</f>
        <v>2016-2017</v>
      </c>
      <c r="G1" s="1861" t="str">
        <f>LEFT(F1,4)+1&amp;"-"&amp;RIGHT(F1,4)+1</f>
        <v>2017-2018</v>
      </c>
      <c r="H1" s="1826" t="str">
        <f t="shared" si="0"/>
        <v>2018-2019</v>
      </c>
      <c r="I1" s="1067" t="str">
        <f t="shared" si="0"/>
        <v>2019-2020</v>
      </c>
      <c r="J1" s="307" t="str">
        <f t="shared" si="0"/>
        <v>2020-2021</v>
      </c>
      <c r="K1" s="219" t="str">
        <f t="shared" si="0"/>
        <v>2021-2022</v>
      </c>
      <c r="L1" s="307" t="str">
        <f t="shared" si="0"/>
        <v>2022-2023</v>
      </c>
      <c r="M1" s="308"/>
      <c r="N1" s="1175"/>
      <c r="O1" s="1175"/>
      <c r="P1" s="1175"/>
      <c r="Q1" s="1175"/>
      <c r="R1" s="1175"/>
    </row>
    <row r="2" spans="1:19" s="309" customFormat="1" ht="18" x14ac:dyDescent="0.25">
      <c r="A2" s="1940"/>
      <c r="B2" s="1949"/>
      <c r="C2" s="1949"/>
      <c r="D2" s="1949"/>
      <c r="E2" s="311"/>
      <c r="F2" s="1792"/>
      <c r="G2" s="1862"/>
      <c r="H2" s="1827"/>
      <c r="I2" s="1069"/>
      <c r="J2" s="310"/>
      <c r="K2" s="311"/>
      <c r="L2" s="310"/>
      <c r="M2" s="312"/>
      <c r="N2" s="1175"/>
      <c r="O2" s="1175"/>
      <c r="P2" s="1175"/>
      <c r="Q2" s="1175"/>
      <c r="R2" s="1175"/>
    </row>
    <row r="3" spans="1:19" s="309" customFormat="1" ht="16.5" customHeight="1" x14ac:dyDescent="0.25">
      <c r="A3" s="1940"/>
      <c r="B3" s="1948" t="s">
        <v>358</v>
      </c>
      <c r="C3" s="1949"/>
      <c r="D3" s="1949"/>
      <c r="E3" s="313"/>
      <c r="F3" s="1792"/>
      <c r="G3" s="1863"/>
      <c r="H3" s="1827"/>
      <c r="I3" s="1070"/>
      <c r="J3" s="310"/>
      <c r="K3" s="313"/>
      <c r="L3" s="310"/>
      <c r="M3" s="312"/>
      <c r="N3" s="2143" t="s">
        <v>961</v>
      </c>
      <c r="O3" s="2143"/>
      <c r="P3" s="2143"/>
      <c r="Q3" s="2143"/>
      <c r="R3" s="1175"/>
    </row>
    <row r="4" spans="1:19" s="309" customFormat="1" ht="16.5" customHeight="1" x14ac:dyDescent="0.25">
      <c r="A4" s="2056"/>
      <c r="B4" s="2057"/>
      <c r="C4" s="2057" t="s">
        <v>359</v>
      </c>
      <c r="D4" s="2057"/>
      <c r="E4" s="1068">
        <f>+UNRESTRICTED!E4+RESTRICTED!E4</f>
        <v>0</v>
      </c>
      <c r="F4" s="1793">
        <f>+UNRESTRICTED!F4+RESTRICTED!F4</f>
        <v>65116083.999999993</v>
      </c>
      <c r="G4" s="1864">
        <f>+UNRESTRICTED!G4+RESTRICTED!G4</f>
        <v>66005027</v>
      </c>
      <c r="H4" s="1828">
        <f>+UNRESTRICTED!H4+RESTRICTED!H4</f>
        <v>68012465</v>
      </c>
      <c r="I4" s="1071">
        <f>+UNRESTRICTED!I4+RESTRICTED!I4</f>
        <v>69880094</v>
      </c>
      <c r="J4" s="314">
        <f>+UNRESTRICTED!J4+RESTRICTED!J4</f>
        <v>72614900</v>
      </c>
      <c r="K4" s="315">
        <f>+UNRESTRICTED!K4+RESTRICTED!K4</f>
        <v>74518273.932599992</v>
      </c>
      <c r="L4" s="314">
        <f>+UNRESTRICTED!L4+RESTRICTED!L4</f>
        <v>76472277.611807153</v>
      </c>
      <c r="M4" s="316"/>
      <c r="N4" s="2134">
        <f>+F4-UNRESTRICTED!F4-RESTRICTED!F4</f>
        <v>0</v>
      </c>
      <c r="O4" s="2134">
        <f>+G4-UNRESTRICTED!G4-RESTRICTED!G4</f>
        <v>0</v>
      </c>
      <c r="P4" s="2134">
        <f>+H4-UNRESTRICTED!H4-RESTRICTED!H4</f>
        <v>0</v>
      </c>
      <c r="Q4" s="2134">
        <f>+I4-UNRESTRICTED!I4-RESTRICTED!I4</f>
        <v>0</v>
      </c>
      <c r="R4" s="1175"/>
    </row>
    <row r="5" spans="1:19" s="309" customFormat="1" ht="16.5" customHeight="1" x14ac:dyDescent="0.25">
      <c r="A5" s="1930"/>
      <c r="B5" s="1120"/>
      <c r="C5" s="1120"/>
      <c r="D5" s="1934" t="str">
        <f>+UNRESTRICTED!D5</f>
        <v>Estimated Increase in ADA</v>
      </c>
      <c r="E5" s="918"/>
      <c r="F5" s="2108">
        <f>+UNRESTRICTED!F5</f>
        <v>0</v>
      </c>
      <c r="G5" s="2109">
        <f>+UNRESTRICTED!G5</f>
        <v>0</v>
      </c>
      <c r="H5" s="2110">
        <f>+UNRESTRICTED!H5</f>
        <v>0</v>
      </c>
      <c r="I5" s="1001">
        <f>+UNRESTRICTED!I5</f>
        <v>760000</v>
      </c>
      <c r="J5" s="314"/>
      <c r="K5" s="315"/>
      <c r="L5" s="314"/>
      <c r="M5" s="316"/>
      <c r="N5" s="2134">
        <f>+F5-UNRESTRICTED!F5-RESTRICTED!F5</f>
        <v>0</v>
      </c>
      <c r="O5" s="2134">
        <f>+G5-UNRESTRICTED!G5-RESTRICTED!G5</f>
        <v>0</v>
      </c>
      <c r="P5" s="2134">
        <f>+H5-UNRESTRICTED!H5-RESTRICTED!H5</f>
        <v>0</v>
      </c>
      <c r="Q5" s="2134">
        <f>+I5-UNRESTRICTED!I5-RESTRICTED!I5</f>
        <v>0</v>
      </c>
      <c r="R5" s="1175"/>
      <c r="S5" s="1175"/>
    </row>
    <row r="6" spans="1:19" s="309" customFormat="1" ht="16.5" customHeight="1" x14ac:dyDescent="0.25">
      <c r="A6" s="1932"/>
      <c r="B6" s="1109"/>
      <c r="C6" s="1109" t="s">
        <v>360</v>
      </c>
      <c r="D6" s="1109"/>
      <c r="E6" s="919">
        <f>UNRESTRICTED!E6+RESTRICTED!E6</f>
        <v>0</v>
      </c>
      <c r="F6" s="1794">
        <f>UNRESTRICTED!F6+RESTRICTED!F6</f>
        <v>3619264.26</v>
      </c>
      <c r="G6" s="1670">
        <f>UNRESTRICTED!G6+RESTRICTED!G6</f>
        <v>4036480</v>
      </c>
      <c r="H6" s="1829">
        <f>UNRESTRICTED!H6+RESTRICTED!H6</f>
        <v>4045618</v>
      </c>
      <c r="I6" s="1000">
        <f>UNRESTRICTED!I6+RESTRICTED!I6</f>
        <v>4093073</v>
      </c>
      <c r="J6" s="317" t="e">
        <f>UNRESTRICTED!J6+RESTRICTED!J6</f>
        <v>#REF!</v>
      </c>
      <c r="K6" s="233" t="e">
        <f>UNRESTRICTED!K6+RESTRICTED!K6</f>
        <v>#REF!</v>
      </c>
      <c r="L6" s="317" t="e">
        <f>UNRESTRICTED!L6+RESTRICTED!L6</f>
        <v>#REF!</v>
      </c>
      <c r="M6" s="318"/>
      <c r="N6" s="2134">
        <f>+F6-UNRESTRICTED!F6-RESTRICTED!F6</f>
        <v>0</v>
      </c>
      <c r="O6" s="2134">
        <f>+G6-UNRESTRICTED!G6-RESTRICTED!G6</f>
        <v>0</v>
      </c>
      <c r="P6" s="2134">
        <f>+H6-UNRESTRICTED!H6-RESTRICTED!H6</f>
        <v>0</v>
      </c>
      <c r="Q6" s="2134">
        <f>+I6-UNRESTRICTED!I6-RESTRICTED!I6</f>
        <v>0</v>
      </c>
      <c r="R6" s="1175"/>
    </row>
    <row r="7" spans="1:19" s="322" customFormat="1" ht="16.5" customHeight="1" x14ac:dyDescent="0.25">
      <c r="A7" s="2058"/>
      <c r="B7" s="1934"/>
      <c r="C7" s="1934"/>
      <c r="D7" s="1934" t="s">
        <v>393</v>
      </c>
      <c r="E7" s="922">
        <f>RESTRICTED!E7</f>
        <v>0</v>
      </c>
      <c r="F7" s="1795">
        <f>RESTRICTED!F7</f>
        <v>1102146.6500000001</v>
      </c>
      <c r="G7" s="1669">
        <f>RESTRICTED!G7</f>
        <v>599346</v>
      </c>
      <c r="H7" s="1830">
        <f>RESTRICTED!H7</f>
        <v>38613</v>
      </c>
      <c r="I7" s="1001">
        <f>RESTRICTED!I7</f>
        <v>19638</v>
      </c>
      <c r="J7" s="319">
        <f>RESTRICTED!J7</f>
        <v>0</v>
      </c>
      <c r="K7" s="320">
        <f>RESTRICTED!K7</f>
        <v>0</v>
      </c>
      <c r="L7" s="319">
        <f>RESTRICTED!L7</f>
        <v>0</v>
      </c>
      <c r="M7" s="321"/>
      <c r="N7" s="2134">
        <f>+F7-UNRESTRICTED!F7-RESTRICTED!F7</f>
        <v>0</v>
      </c>
      <c r="O7" s="2134">
        <f>+G7-UNRESTRICTED!G7-RESTRICTED!G7</f>
        <v>0</v>
      </c>
      <c r="P7" s="2134">
        <f>+H7-UNRESTRICTED!H7-RESTRICTED!H7</f>
        <v>0</v>
      </c>
      <c r="Q7" s="2134">
        <f>+I7-UNRESTRICTED!I7-RESTRICTED!I7</f>
        <v>0</v>
      </c>
      <c r="R7" s="1176"/>
    </row>
    <row r="8" spans="1:19" s="309" customFormat="1" ht="16.5" customHeight="1" x14ac:dyDescent="0.25">
      <c r="A8" s="1932"/>
      <c r="B8" s="1109"/>
      <c r="C8" s="1109" t="s">
        <v>361</v>
      </c>
      <c r="D8" s="1109"/>
      <c r="E8" s="919">
        <f>UNRESTRICTED!E8+RESTRICTED!E8</f>
        <v>0</v>
      </c>
      <c r="F8" s="1794">
        <f>UNRESTRICTED!F8+RESTRICTED!F8</f>
        <v>1925341.78</v>
      </c>
      <c r="G8" s="1670">
        <f>UNRESTRICTED!G8+RESTRICTED!G8</f>
        <v>1948405</v>
      </c>
      <c r="H8" s="1829">
        <f>UNRESTRICTED!H8+RESTRICTED!H8</f>
        <v>1979070.7964999999</v>
      </c>
      <c r="I8" s="1000">
        <f>UNRESTRICTED!I8+RESTRICTED!I8</f>
        <v>2014519.3562177499</v>
      </c>
      <c r="J8" s="317" t="e">
        <f>UNRESTRICTED!J8+RESTRICTED!J8</f>
        <v>#REF!</v>
      </c>
      <c r="K8" s="233" t="e">
        <f>UNRESTRICTED!K8+RESTRICTED!K8</f>
        <v>#REF!</v>
      </c>
      <c r="L8" s="317" t="e">
        <f>UNRESTRICTED!L8+RESTRICTED!L8</f>
        <v>#REF!</v>
      </c>
      <c r="M8" s="318"/>
      <c r="N8" s="2134">
        <f>+F8-UNRESTRICTED!F8-RESTRICTED!F8</f>
        <v>0</v>
      </c>
      <c r="O8" s="2134">
        <f>+G8-UNRESTRICTED!G8-RESTRICTED!G8</f>
        <v>0</v>
      </c>
      <c r="P8" s="2134">
        <f>+H8-UNRESTRICTED!H8-RESTRICTED!H8</f>
        <v>0</v>
      </c>
      <c r="Q8" s="2134">
        <f>+I8-UNRESTRICTED!I8-RESTRICTED!I8</f>
        <v>0</v>
      </c>
      <c r="R8" s="1175"/>
    </row>
    <row r="9" spans="1:19" s="322" customFormat="1" ht="16.5" customHeight="1" x14ac:dyDescent="0.25">
      <c r="A9" s="2058"/>
      <c r="B9" s="1934"/>
      <c r="C9" s="1934"/>
      <c r="D9" s="1934" t="s">
        <v>402</v>
      </c>
      <c r="E9" s="922">
        <f>UNRESTRICTED!E9+RESTRICTED!E9</f>
        <v>0</v>
      </c>
      <c r="F9" s="1795">
        <f>UNRESTRICTED!F9+RESTRICTED!F9</f>
        <v>2154327</v>
      </c>
      <c r="G9" s="1669">
        <f>UNRESTRICTED!G9+RESTRICTED!G9</f>
        <v>379448</v>
      </c>
      <c r="H9" s="1830">
        <f>UNRESTRICTED!H9+RESTRICTED!H9</f>
        <v>0</v>
      </c>
      <c r="I9" s="1001">
        <f>UNRESTRICTED!I9+RESTRICTED!I9</f>
        <v>0</v>
      </c>
      <c r="J9" s="319">
        <f>UNRESTRICTED!J9+RESTRICTED!J9</f>
        <v>0</v>
      </c>
      <c r="K9" s="320">
        <f>UNRESTRICTED!K9+RESTRICTED!K9</f>
        <v>0</v>
      </c>
      <c r="L9" s="319">
        <f>UNRESTRICTED!L9+RESTRICTED!L9</f>
        <v>0</v>
      </c>
      <c r="M9" s="321"/>
      <c r="N9" s="2134">
        <f>+F9-UNRESTRICTED!F9-RESTRICTED!F9</f>
        <v>0</v>
      </c>
      <c r="O9" s="2134">
        <f>+G9-UNRESTRICTED!G9-RESTRICTED!G9</f>
        <v>0</v>
      </c>
      <c r="P9" s="2134">
        <f>+H9-UNRESTRICTED!H9-RESTRICTED!H9</f>
        <v>0</v>
      </c>
      <c r="Q9" s="2134">
        <f>+I9-UNRESTRICTED!I9-RESTRICTED!I9</f>
        <v>0</v>
      </c>
      <c r="R9" s="1176"/>
    </row>
    <row r="10" spans="1:19" s="309" customFormat="1" ht="16.5" customHeight="1" x14ac:dyDescent="0.25">
      <c r="A10" s="1932"/>
      <c r="B10" s="1109"/>
      <c r="C10" s="1109" t="s">
        <v>363</v>
      </c>
      <c r="D10" s="1109"/>
      <c r="E10" s="919">
        <f>UNRESTRICTED!E10+RESTRICTED!E10</f>
        <v>0</v>
      </c>
      <c r="F10" s="1794">
        <f>UNRESTRICTED!F10+RESTRICTED!F10</f>
        <v>3982493.75</v>
      </c>
      <c r="G10" s="1670">
        <f>UNRESTRICTED!G10+RESTRICTED!G10</f>
        <v>3974383</v>
      </c>
      <c r="H10" s="1829">
        <f>UNRESTRICTED!H10+RESTRICTED!H10</f>
        <v>4043711</v>
      </c>
      <c r="I10" s="1000">
        <f>UNRESTRICTED!I10+RESTRICTED!I10</f>
        <v>4138569.3859999999</v>
      </c>
      <c r="J10" s="317">
        <f>UNRESTRICTED!J10+RESTRICTED!J10</f>
        <v>4138569.3859999999</v>
      </c>
      <c r="K10" s="233">
        <f>UNRESTRICTED!K10+RESTRICTED!K10</f>
        <v>4138569.3859999999</v>
      </c>
      <c r="L10" s="317">
        <f>UNRESTRICTED!L10+RESTRICTED!L10</f>
        <v>4138569.3859999999</v>
      </c>
      <c r="M10" s="318"/>
      <c r="N10" s="2134">
        <f>+F10-UNRESTRICTED!F10-RESTRICTED!F10</f>
        <v>0</v>
      </c>
      <c r="O10" s="2134">
        <f>+G10-UNRESTRICTED!G10-RESTRICTED!G10</f>
        <v>0</v>
      </c>
      <c r="P10" s="2134">
        <f>+H10-UNRESTRICTED!H10-RESTRICTED!H10</f>
        <v>0</v>
      </c>
      <c r="Q10" s="2134">
        <f>+I10-UNRESTRICTED!I10-RESTRICTED!I10</f>
        <v>0</v>
      </c>
      <c r="R10" s="1175"/>
    </row>
    <row r="11" spans="1:19" s="322" customFormat="1" ht="16.5" customHeight="1" x14ac:dyDescent="0.25">
      <c r="A11" s="2059"/>
      <c r="B11" s="2060"/>
      <c r="C11" s="2060"/>
      <c r="D11" s="2060" t="s">
        <v>403</v>
      </c>
      <c r="E11" s="1103">
        <f>+UNRESTRICTED!E11</f>
        <v>0</v>
      </c>
      <c r="F11" s="1796">
        <f>+UNRESTRICTED!F11</f>
        <v>876320</v>
      </c>
      <c r="G11" s="1865">
        <f>+UNRESTRICTED!G11</f>
        <v>0</v>
      </c>
      <c r="H11" s="1831">
        <f>+UNRESTRICTED!H11</f>
        <v>0</v>
      </c>
      <c r="I11" s="1104">
        <f>+UNRESTRICTED!I11</f>
        <v>0</v>
      </c>
      <c r="J11" s="319">
        <f>+UNRESTRICTED!J11</f>
        <v>0</v>
      </c>
      <c r="K11" s="320">
        <f>+UNRESTRICTED!K11</f>
        <v>0</v>
      </c>
      <c r="L11" s="319">
        <f>+UNRESTRICTED!L11</f>
        <v>0</v>
      </c>
      <c r="M11" s="321"/>
      <c r="N11" s="2134">
        <f>+F11-UNRESTRICTED!F11-RESTRICTED!F11</f>
        <v>0</v>
      </c>
      <c r="O11" s="2134">
        <f>+G11-UNRESTRICTED!G11-RESTRICTED!G11</f>
        <v>0</v>
      </c>
      <c r="P11" s="2134">
        <f>+H11-UNRESTRICTED!H11-RESTRICTED!H11</f>
        <v>0</v>
      </c>
      <c r="Q11" s="2134">
        <f>+I11-UNRESTRICTED!I11-RESTRICTED!I11</f>
        <v>0</v>
      </c>
      <c r="R11" s="1176"/>
    </row>
    <row r="12" spans="1:19" s="309" customFormat="1" ht="16.5" customHeight="1" thickBot="1" x14ac:dyDescent="0.3">
      <c r="A12" s="1938"/>
      <c r="B12" s="1939" t="s">
        <v>364</v>
      </c>
      <c r="C12" s="1939"/>
      <c r="D12" s="1939"/>
      <c r="E12" s="983">
        <f>SUM(E4:E11)</f>
        <v>0</v>
      </c>
      <c r="F12" s="1797">
        <f>SUM(F4:F11)</f>
        <v>78775977.439999998</v>
      </c>
      <c r="G12" s="1672">
        <f t="shared" ref="G12:L12" si="1">SUM(G4:G11)</f>
        <v>76943089</v>
      </c>
      <c r="H12" s="1832">
        <f t="shared" si="1"/>
        <v>78119477.796499997</v>
      </c>
      <c r="I12" s="1007">
        <f>SUM(I4:I11)</f>
        <v>80905893.742217749</v>
      </c>
      <c r="J12" s="323" t="e">
        <f t="shared" si="1"/>
        <v>#REF!</v>
      </c>
      <c r="K12" s="324" t="e">
        <f t="shared" si="1"/>
        <v>#REF!</v>
      </c>
      <c r="L12" s="323" t="e">
        <f t="shared" si="1"/>
        <v>#REF!</v>
      </c>
      <c r="M12" s="316"/>
      <c r="N12" s="2134">
        <f>+F12-UNRESTRICTED!F12-RESTRICTED!F12</f>
        <v>0</v>
      </c>
      <c r="O12" s="2134">
        <f>+G12-UNRESTRICTED!G12-RESTRICTED!G12</f>
        <v>0</v>
      </c>
      <c r="P12" s="2134">
        <f>+H12-UNRESTRICTED!H12-RESTRICTED!H12</f>
        <v>0</v>
      </c>
      <c r="Q12" s="2134">
        <f>+I12-UNRESTRICTED!I12-RESTRICTED!I12</f>
        <v>-1.4901161193847656E-8</v>
      </c>
      <c r="R12" s="1175"/>
    </row>
    <row r="13" spans="1:19" s="309" customFormat="1" ht="18.75" thickTop="1" x14ac:dyDescent="0.25">
      <c r="A13" s="2119"/>
      <c r="B13" s="1949"/>
      <c r="C13" s="1949"/>
      <c r="D13" s="1949"/>
      <c r="E13" s="237"/>
      <c r="F13" s="1798"/>
      <c r="G13" s="1677"/>
      <c r="H13" s="1833"/>
      <c r="I13" s="1005"/>
      <c r="J13" s="325"/>
      <c r="K13" s="237"/>
      <c r="L13" s="325"/>
      <c r="M13" s="326"/>
      <c r="N13" s="2134">
        <f>+F13-UNRESTRICTED!F13-RESTRICTED!F13</f>
        <v>0</v>
      </c>
      <c r="O13" s="2134">
        <f>+G13-UNRESTRICTED!G13-RESTRICTED!G13</f>
        <v>0</v>
      </c>
      <c r="P13" s="2134">
        <f>+H13-UNRESTRICTED!H13-RESTRICTED!H13</f>
        <v>0</v>
      </c>
      <c r="Q13" s="2134">
        <f>+I13-UNRESTRICTED!I13-RESTRICTED!I13</f>
        <v>0</v>
      </c>
      <c r="R13" s="1175"/>
    </row>
    <row r="14" spans="1:19" s="309" customFormat="1" ht="18" x14ac:dyDescent="0.25">
      <c r="A14" s="1930"/>
      <c r="B14" s="1931" t="s">
        <v>737</v>
      </c>
      <c r="C14" s="1120"/>
      <c r="D14" s="1120"/>
      <c r="E14" s="1107"/>
      <c r="F14" s="1799"/>
      <c r="G14" s="1866"/>
      <c r="H14" s="1834"/>
      <c r="I14" s="1108"/>
      <c r="J14" s="325"/>
      <c r="K14" s="237"/>
      <c r="L14" s="325"/>
      <c r="M14" s="326"/>
      <c r="N14" s="2134">
        <f>+F14-UNRESTRICTED!F14-RESTRICTED!F14</f>
        <v>0</v>
      </c>
      <c r="O14" s="2134">
        <f>+G14-UNRESTRICTED!G14-RESTRICTED!G14</f>
        <v>0</v>
      </c>
      <c r="P14" s="2134">
        <f>+H14-UNRESTRICTED!H14-RESTRICTED!H14</f>
        <v>0</v>
      </c>
      <c r="Q14" s="2134">
        <f>+I14-UNRESTRICTED!I14-RESTRICTED!I14</f>
        <v>0</v>
      </c>
      <c r="R14" s="1175"/>
    </row>
    <row r="15" spans="1:19" s="309" customFormat="1" ht="18" x14ac:dyDescent="0.25">
      <c r="A15" s="1932"/>
      <c r="B15" s="1109"/>
      <c r="C15" s="1109" t="s">
        <v>376</v>
      </c>
      <c r="D15" s="1109"/>
      <c r="E15" s="939">
        <f>+UNRESTRICTED!E15+RESTRICTED!E15</f>
        <v>0</v>
      </c>
      <c r="F15" s="1800">
        <f>+UNRESTRICTED!F15+RESTRICTED!F15</f>
        <v>0</v>
      </c>
      <c r="G15" s="1774">
        <f>+UNRESTRICTED!G15+RESTRICTED!G15</f>
        <v>0</v>
      </c>
      <c r="H15" s="1835">
        <f>+UNRESTRICTED!H15+RESTRICTED!H15</f>
        <v>0</v>
      </c>
      <c r="I15" s="999">
        <f>+UNRESTRICTED!I15+RESTRICTED!I15</f>
        <v>0</v>
      </c>
      <c r="J15" s="336">
        <f>+UNRESTRICTED!J15+RESTRICTED!J15</f>
        <v>0</v>
      </c>
      <c r="K15" s="235">
        <f>+UNRESTRICTED!K15+RESTRICTED!K15</f>
        <v>0</v>
      </c>
      <c r="L15" s="336">
        <f>+UNRESTRICTED!L15+RESTRICTED!L15</f>
        <v>0</v>
      </c>
      <c r="M15" s="316"/>
      <c r="N15" s="2134">
        <f>+F15-UNRESTRICTED!F15-RESTRICTED!F15</f>
        <v>0</v>
      </c>
      <c r="O15" s="2134">
        <f>+G15-UNRESTRICTED!G15-RESTRICTED!G15</f>
        <v>0</v>
      </c>
      <c r="P15" s="2134">
        <f>+H15-UNRESTRICTED!H15-RESTRICTED!H15</f>
        <v>0</v>
      </c>
      <c r="Q15" s="2134">
        <f>+I15-UNRESTRICTED!I15-RESTRICTED!I15</f>
        <v>0</v>
      </c>
      <c r="R15" s="1175"/>
    </row>
    <row r="16" spans="1:19" s="309" customFormat="1" ht="18" x14ac:dyDescent="0.25">
      <c r="A16" s="1932"/>
      <c r="B16" s="1109"/>
      <c r="C16" s="1109" t="s">
        <v>282</v>
      </c>
      <c r="D16" s="1109"/>
      <c r="E16" s="919">
        <f>+UNRESTRICTED!E16+RESTRICTED!E16</f>
        <v>0</v>
      </c>
      <c r="F16" s="1794">
        <f>+UNRESTRICTED!F16+RESTRICTED!F16</f>
        <v>940972.3</v>
      </c>
      <c r="G16" s="1670">
        <f>+UNRESTRICTED!G16+RESTRICTED!G16</f>
        <v>0</v>
      </c>
      <c r="H16" s="1829">
        <f>+UNRESTRICTED!H16+RESTRICTED!H16</f>
        <v>0</v>
      </c>
      <c r="I16" s="1000">
        <f>+UNRESTRICTED!I16+RESTRICTED!I16</f>
        <v>0</v>
      </c>
      <c r="J16" s="317">
        <f>+UNRESTRICTED!J16+RESTRICTED!J16</f>
        <v>0</v>
      </c>
      <c r="K16" s="233">
        <f>+UNRESTRICTED!K16+RESTRICTED!K16</f>
        <v>0</v>
      </c>
      <c r="L16" s="317">
        <f>+UNRESTRICTED!L16+RESTRICTED!L16</f>
        <v>0</v>
      </c>
      <c r="M16" s="318"/>
      <c r="N16" s="2134">
        <f>+F16-UNRESTRICTED!F16-RESTRICTED!F16</f>
        <v>0</v>
      </c>
      <c r="O16" s="2134">
        <f>+G16-UNRESTRICTED!G16-RESTRICTED!G16</f>
        <v>0</v>
      </c>
      <c r="P16" s="2134">
        <f>+H16-UNRESTRICTED!H16-RESTRICTED!H16</f>
        <v>0</v>
      </c>
      <c r="Q16" s="2134">
        <f>+I16-UNRESTRICTED!I16-RESTRICTED!I16</f>
        <v>0</v>
      </c>
      <c r="R16" s="1175"/>
    </row>
    <row r="17" spans="1:19" s="309" customFormat="1" ht="18" x14ac:dyDescent="0.25">
      <c r="A17" s="1932"/>
      <c r="B17" s="1109"/>
      <c r="C17" s="1109" t="s">
        <v>378</v>
      </c>
      <c r="D17" s="1109"/>
      <c r="E17" s="919">
        <f>+UNRESTRICTED!E17+RESTRICTED!E17</f>
        <v>0</v>
      </c>
      <c r="F17" s="1794">
        <f>+UNRESTRICTED!F17+RESTRICTED!F17</f>
        <v>0</v>
      </c>
      <c r="G17" s="1670">
        <f>+UNRESTRICTED!G17+RESTRICTED!G17</f>
        <v>0</v>
      </c>
      <c r="H17" s="1829">
        <f>+UNRESTRICTED!H17+RESTRICTED!H17</f>
        <v>0</v>
      </c>
      <c r="I17" s="1000">
        <f>+UNRESTRICTED!I17+RESTRICTED!I17</f>
        <v>0</v>
      </c>
      <c r="J17" s="317" t="e">
        <f>+UNRESTRICTED!J17+RESTRICTED!J17</f>
        <v>#REF!</v>
      </c>
      <c r="K17" s="233" t="e">
        <f>+UNRESTRICTED!K17+RESTRICTED!K17</f>
        <v>#REF!</v>
      </c>
      <c r="L17" s="317" t="e">
        <f>+UNRESTRICTED!L17+RESTRICTED!L17</f>
        <v>#REF!</v>
      </c>
      <c r="M17" s="318"/>
      <c r="N17" s="2134">
        <f>+F17-UNRESTRICTED!F17-RESTRICTED!F17</f>
        <v>0</v>
      </c>
      <c r="O17" s="2134">
        <f>+G17-UNRESTRICTED!G17-RESTRICTED!G17</f>
        <v>0</v>
      </c>
      <c r="P17" s="2134">
        <f>+H17-UNRESTRICTED!H17-RESTRICTED!H17</f>
        <v>0</v>
      </c>
      <c r="Q17" s="2134">
        <f>+I17-UNRESTRICTED!I17-RESTRICTED!I17</f>
        <v>0</v>
      </c>
      <c r="R17" s="1175"/>
    </row>
    <row r="18" spans="1:19" s="309" customFormat="1" ht="18" hidden="1" x14ac:dyDescent="0.25">
      <c r="A18" s="1932"/>
      <c r="B18" s="1109"/>
      <c r="C18" s="1109"/>
      <c r="D18" s="1109" t="str">
        <f>+RESTRICTED!D18</f>
        <v>Special Education (RS 6500)</v>
      </c>
      <c r="E18" s="919"/>
      <c r="F18" s="1794">
        <f>+UNRESTRICTED!F18+RESTRICTED!F18</f>
        <v>0</v>
      </c>
      <c r="G18" s="1670">
        <f>+UNRESTRICTED!G18+RESTRICTED!G18</f>
        <v>0</v>
      </c>
      <c r="H18" s="1829">
        <f>+UNRESTRICTED!H18+RESTRICTED!H18</f>
        <v>0</v>
      </c>
      <c r="I18" s="1000">
        <f>+UNRESTRICTED!I18+RESTRICTED!I18</f>
        <v>0</v>
      </c>
      <c r="J18" s="317"/>
      <c r="K18" s="233"/>
      <c r="L18" s="317"/>
      <c r="M18" s="318"/>
      <c r="N18" s="2134">
        <f>+F18-UNRESTRICTED!F18-RESTRICTED!F18</f>
        <v>0</v>
      </c>
      <c r="O18" s="2134"/>
      <c r="P18" s="2134"/>
      <c r="Q18" s="2134"/>
      <c r="R18" s="1175"/>
    </row>
    <row r="19" spans="1:19" s="309" customFormat="1" ht="18" hidden="1" x14ac:dyDescent="0.25">
      <c r="A19" s="1932"/>
      <c r="B19" s="1109"/>
      <c r="C19" s="1109"/>
      <c r="D19" s="1109" t="str">
        <f>+RESTRICTED!D19</f>
        <v>Ongoing &amp; Major Maintenance (RS 8150)</v>
      </c>
      <c r="E19" s="919"/>
      <c r="F19" s="1794">
        <f>+UNRESTRICTED!F19+RESTRICTED!F19</f>
        <v>0</v>
      </c>
      <c r="G19" s="1670">
        <f>+UNRESTRICTED!G19+RESTRICTED!G19</f>
        <v>0</v>
      </c>
      <c r="H19" s="1829">
        <f>+UNRESTRICTED!H19+RESTRICTED!H19</f>
        <v>0</v>
      </c>
      <c r="I19" s="1000">
        <f>+UNRESTRICTED!I19+RESTRICTED!I19</f>
        <v>0</v>
      </c>
      <c r="J19" s="317"/>
      <c r="K19" s="233"/>
      <c r="L19" s="317"/>
      <c r="M19" s="318"/>
      <c r="N19" s="2134">
        <f>+F19-UNRESTRICTED!F19-RESTRICTED!F19</f>
        <v>0</v>
      </c>
      <c r="O19" s="2134"/>
      <c r="P19" s="2134"/>
      <c r="Q19" s="2134"/>
      <c r="R19" s="1175"/>
    </row>
    <row r="20" spans="1:19" s="309" customFormat="1" ht="18" hidden="1" x14ac:dyDescent="0.25">
      <c r="A20" s="1932"/>
      <c r="B20" s="1945"/>
      <c r="C20" s="1945"/>
      <c r="D20" s="1945" t="str">
        <f>+RESTRICTED!D20</f>
        <v>Facilities Improvement (RS 9225)</v>
      </c>
      <c r="E20" s="932"/>
      <c r="F20" s="1801">
        <f>+UNRESTRICTED!F20+RESTRICTED!F20</f>
        <v>0</v>
      </c>
      <c r="G20" s="1775">
        <f>+UNRESTRICTED!G20+RESTRICTED!G20</f>
        <v>0</v>
      </c>
      <c r="H20" s="1836">
        <f>+UNRESTRICTED!H20+RESTRICTED!H20</f>
        <v>0</v>
      </c>
      <c r="I20" s="1006">
        <f>+UNRESTRICTED!I20+RESTRICTED!I20</f>
        <v>0</v>
      </c>
      <c r="J20" s="335"/>
      <c r="K20" s="246"/>
      <c r="L20" s="335"/>
      <c r="M20" s="318"/>
      <c r="N20" s="2134">
        <f>+F20-UNRESTRICTED!F20-RESTRICTED!F20</f>
        <v>0</v>
      </c>
      <c r="O20" s="2134"/>
      <c r="P20" s="2134"/>
      <c r="Q20" s="2134"/>
      <c r="R20" s="1175"/>
    </row>
    <row r="21" spans="1:19" s="309" customFormat="1" ht="18.75" thickBot="1" x14ac:dyDescent="0.3">
      <c r="A21" s="1946"/>
      <c r="B21" s="2061" t="s">
        <v>738</v>
      </c>
      <c r="C21" s="2062"/>
      <c r="D21" s="2062"/>
      <c r="E21" s="1105"/>
      <c r="F21" s="1802">
        <f>SUM(F15:F17)</f>
        <v>940972.3</v>
      </c>
      <c r="G21" s="1867">
        <f>SUM(G15:G17)</f>
        <v>0</v>
      </c>
      <c r="H21" s="1837">
        <f t="shared" ref="H21:I21" si="2">SUM(H15:H17)</f>
        <v>0</v>
      </c>
      <c r="I21" s="1106">
        <f t="shared" si="2"/>
        <v>0</v>
      </c>
      <c r="J21" s="317"/>
      <c r="K21" s="233"/>
      <c r="L21" s="317"/>
      <c r="M21" s="318"/>
      <c r="N21" s="2134">
        <f>+F21-UNRESTRICTED!F21-RESTRICTED!F21</f>
        <v>0</v>
      </c>
      <c r="O21" s="2134">
        <f>+G21-UNRESTRICTED!G18-RESTRICTED!G18</f>
        <v>0</v>
      </c>
      <c r="P21" s="2134">
        <f>+H21-UNRESTRICTED!H18-RESTRICTED!H18</f>
        <v>0</v>
      </c>
      <c r="Q21" s="2134">
        <f>+I21-UNRESTRICTED!I18-RESTRICTED!I18</f>
        <v>0</v>
      </c>
      <c r="R21" s="1175"/>
    </row>
    <row r="22" spans="1:19" s="309" customFormat="1" ht="18.75" thickTop="1" x14ac:dyDescent="0.25">
      <c r="A22" s="1940"/>
      <c r="B22" s="1949"/>
      <c r="C22" s="1949"/>
      <c r="D22" s="1949"/>
      <c r="E22" s="233"/>
      <c r="F22" s="1803"/>
      <c r="G22" s="1868"/>
      <c r="H22" s="1838"/>
      <c r="I22" s="1072"/>
      <c r="J22" s="317"/>
      <c r="K22" s="233"/>
      <c r="L22" s="317"/>
      <c r="M22" s="318"/>
      <c r="N22" s="2134">
        <f>+F22-UNRESTRICTED!F19-RESTRICTED!F19</f>
        <v>0</v>
      </c>
      <c r="O22" s="2134">
        <f>+G22-UNRESTRICTED!G19-RESTRICTED!G19</f>
        <v>0</v>
      </c>
      <c r="P22" s="2134">
        <f>+H22-UNRESTRICTED!H19-RESTRICTED!H19</f>
        <v>0</v>
      </c>
      <c r="Q22" s="2134">
        <f>+I22-UNRESTRICTED!I19-RESTRICTED!I19</f>
        <v>0</v>
      </c>
      <c r="R22" s="1175"/>
    </row>
    <row r="23" spans="1:19" s="1098" customFormat="1" ht="26.25" customHeight="1" x14ac:dyDescent="0.2">
      <c r="A23" s="2063"/>
      <c r="B23" s="2064" t="s">
        <v>739</v>
      </c>
      <c r="C23" s="2065"/>
      <c r="D23" s="2065"/>
      <c r="E23" s="1099"/>
      <c r="F23" s="1804">
        <f>F12+F21</f>
        <v>79716949.739999995</v>
      </c>
      <c r="G23" s="1869">
        <f t="shared" ref="G23:I23" si="3">G12+G21</f>
        <v>76943089</v>
      </c>
      <c r="H23" s="1839">
        <f t="shared" si="3"/>
        <v>78119477.796499997</v>
      </c>
      <c r="I23" s="1116">
        <f t="shared" si="3"/>
        <v>80905893.742217749</v>
      </c>
      <c r="J23" s="1117"/>
      <c r="K23" s="1118"/>
      <c r="L23" s="1117"/>
      <c r="M23" s="1119"/>
      <c r="N23" s="2134">
        <f>+F23-UNRESTRICTED!F23-RESTRICTED!F23</f>
        <v>0</v>
      </c>
      <c r="O23" s="2134">
        <f>+G23-UNRESTRICTED!G23-RESTRICTED!G23</f>
        <v>0</v>
      </c>
      <c r="P23" s="2134">
        <f>+H23-UNRESTRICTED!H23-RESTRICTED!H23</f>
        <v>0</v>
      </c>
      <c r="Q23" s="2134">
        <f>+I23-UNRESTRICTED!I23-RESTRICTED!I23</f>
        <v>0</v>
      </c>
      <c r="R23" s="1177"/>
    </row>
    <row r="24" spans="1:19" s="309" customFormat="1" ht="18" x14ac:dyDescent="0.25">
      <c r="A24" s="1940"/>
      <c r="B24" s="1949"/>
      <c r="C24" s="1949"/>
      <c r="D24" s="1949"/>
      <c r="E24" s="233"/>
      <c r="F24" s="1803"/>
      <c r="G24" s="1868"/>
      <c r="H24" s="1838"/>
      <c r="I24" s="1072"/>
      <c r="J24" s="317"/>
      <c r="K24" s="233"/>
      <c r="L24" s="317"/>
      <c r="M24" s="318"/>
      <c r="N24" s="2134">
        <f>+F24-UNRESTRICTED!F24-RESTRICTED!F24</f>
        <v>0</v>
      </c>
      <c r="O24" s="2134">
        <f>+G24-UNRESTRICTED!G24-RESTRICTED!G24</f>
        <v>0</v>
      </c>
      <c r="P24" s="2134">
        <f>+H24-UNRESTRICTED!H24-RESTRICTED!H24</f>
        <v>0</v>
      </c>
      <c r="Q24" s="2134">
        <f>+I24-UNRESTRICTED!I24-RESTRICTED!I24</f>
        <v>0</v>
      </c>
      <c r="R24" s="1175"/>
    </row>
    <row r="25" spans="1:19" s="309" customFormat="1" ht="18" x14ac:dyDescent="0.25">
      <c r="A25" s="1927"/>
      <c r="B25" s="1928" t="s">
        <v>365</v>
      </c>
      <c r="C25" s="1929"/>
      <c r="D25" s="1929"/>
      <c r="E25" s="1022"/>
      <c r="F25" s="1805"/>
      <c r="G25" s="1674"/>
      <c r="H25" s="1840"/>
      <c r="I25" s="1023"/>
      <c r="J25" s="325"/>
      <c r="K25" s="237"/>
      <c r="L25" s="325"/>
      <c r="M25" s="326"/>
      <c r="N25" s="2134">
        <f>+F25-UNRESTRICTED!F25-RESTRICTED!F25</f>
        <v>0</v>
      </c>
      <c r="O25" s="2134">
        <f>+G25-UNRESTRICTED!G25-RESTRICTED!G25</f>
        <v>0</v>
      </c>
      <c r="P25" s="2134">
        <f>+H25-UNRESTRICTED!H25-RESTRICTED!H25</f>
        <v>0</v>
      </c>
      <c r="Q25" s="2134">
        <f>+I25-UNRESTRICTED!I25-RESTRICTED!I25</f>
        <v>0</v>
      </c>
      <c r="R25" s="1175"/>
    </row>
    <row r="26" spans="1:19" s="309" customFormat="1" ht="16.5" customHeight="1" x14ac:dyDescent="0.25">
      <c r="A26" s="1930"/>
      <c r="B26" s="1120"/>
      <c r="C26" s="1120" t="s">
        <v>366</v>
      </c>
      <c r="D26" s="1120"/>
      <c r="E26" s="918">
        <f>UNRESTRICTED!E26+RESTRICTED!E26</f>
        <v>0</v>
      </c>
      <c r="F26" s="1806">
        <f>UNRESTRICTED!F26+RESTRICTED!F26</f>
        <v>38450936.980000004</v>
      </c>
      <c r="G26" s="1668">
        <f>UNRESTRICTED!G26+RESTRICTED!G26</f>
        <v>39043940</v>
      </c>
      <c r="H26" s="1841">
        <f>UNRESTRICTED!H26+RESTRICTED!H26</f>
        <v>39109526</v>
      </c>
      <c r="I26" s="1024">
        <f>UNRESTRICTED!I26+RESTRICTED!I26</f>
        <v>39689402</v>
      </c>
      <c r="J26" s="314" t="e">
        <f>UNRESTRICTED!J26+RESTRICTED!J26</f>
        <v>#REF!</v>
      </c>
      <c r="K26" s="315" t="e">
        <f>UNRESTRICTED!K26+RESTRICTED!K26</f>
        <v>#REF!</v>
      </c>
      <c r="L26" s="314" t="e">
        <f>UNRESTRICTED!L26+RESTRICTED!L26</f>
        <v>#REF!</v>
      </c>
      <c r="M26" s="316"/>
      <c r="N26" s="2134">
        <f>+F26-UNRESTRICTED!F26-RESTRICTED!F26</f>
        <v>0</v>
      </c>
      <c r="O26" s="2134">
        <f>+G26-UNRESTRICTED!G26-RESTRICTED!G26</f>
        <v>0</v>
      </c>
      <c r="P26" s="2134">
        <f>+H26-UNRESTRICTED!H26-RESTRICTED!H26</f>
        <v>0</v>
      </c>
      <c r="Q26" s="2134">
        <f>+I26-UNRESTRICTED!I26-RESTRICTED!I26</f>
        <v>0</v>
      </c>
      <c r="R26" s="1175"/>
      <c r="S26" s="1175"/>
    </row>
    <row r="27" spans="1:19" s="309" customFormat="1" ht="16.5" customHeight="1" x14ac:dyDescent="0.25">
      <c r="A27" s="1932"/>
      <c r="B27" s="1109"/>
      <c r="C27" s="1109" t="s">
        <v>367</v>
      </c>
      <c r="D27" s="1109"/>
      <c r="E27" s="919">
        <f>UNRESTRICTED!E27+RESTRICTED!E27</f>
        <v>0</v>
      </c>
      <c r="F27" s="1807">
        <f>UNRESTRICTED!F27+RESTRICTED!F27</f>
        <v>11932427</v>
      </c>
      <c r="G27" s="1670">
        <f>UNRESTRICTED!G27+RESTRICTED!G27</f>
        <v>12633009</v>
      </c>
      <c r="H27" s="1829">
        <f>UNRESTRICTED!H27+RESTRICTED!H27</f>
        <v>12812117</v>
      </c>
      <c r="I27" s="1000">
        <f>UNRESTRICTED!I27+RESTRICTED!I27</f>
        <v>13006357</v>
      </c>
      <c r="J27" s="317" t="e">
        <f>UNRESTRICTED!J27+RESTRICTED!J27</f>
        <v>#REF!</v>
      </c>
      <c r="K27" s="233" t="e">
        <f>UNRESTRICTED!K27+RESTRICTED!K27</f>
        <v>#REF!</v>
      </c>
      <c r="L27" s="317" t="e">
        <f>UNRESTRICTED!L27+RESTRICTED!L27</f>
        <v>#REF!</v>
      </c>
      <c r="M27" s="318"/>
      <c r="N27" s="2134">
        <f>+F27-UNRESTRICTED!F27-RESTRICTED!F27</f>
        <v>0</v>
      </c>
      <c r="O27" s="2134">
        <f>+G27-UNRESTRICTED!G27-RESTRICTED!G27</f>
        <v>0</v>
      </c>
      <c r="P27" s="2134">
        <f>+H27-UNRESTRICTED!H27-RESTRICTED!H27</f>
        <v>0</v>
      </c>
      <c r="Q27" s="2134">
        <f>+I27-UNRESTRICTED!I27-RESTRICTED!I27</f>
        <v>0</v>
      </c>
      <c r="R27" s="1175"/>
      <c r="S27" s="1175"/>
    </row>
    <row r="28" spans="1:19" s="309" customFormat="1" ht="16.5" hidden="1" customHeight="1" x14ac:dyDescent="0.25">
      <c r="A28" s="2066"/>
      <c r="B28" s="2067"/>
      <c r="C28" s="1110" t="str">
        <f>IF(UNRESTRICTED!C28=0," ",UNRESTRICTED!C28)</f>
        <v xml:space="preserve"> </v>
      </c>
      <c r="D28" s="1110"/>
      <c r="E28" s="947" t="str">
        <f>IF(UNRESTRICTED!E28=0," ",UNRESTRICTED!E28)</f>
        <v xml:space="preserve"> </v>
      </c>
      <c r="F28" s="1604" t="str">
        <f>IF(UNRESTRICTED!F28=0," ",UNRESTRICTED!F28)</f>
        <v xml:space="preserve"> </v>
      </c>
      <c r="G28" s="1680" t="str">
        <f>IF(UNRESTRICTED!G28=0," ",UNRESTRICTED!G28)</f>
        <v xml:space="preserve"> </v>
      </c>
      <c r="H28" s="1643" t="str">
        <f>IF(UNRESTRICTED!H28=0," ",UNRESTRICTED!H28)</f>
        <v xml:space="preserve"> </v>
      </c>
      <c r="I28" s="1039" t="str">
        <f>IF(UNRESTRICTED!I28=0," ",UNRESTRICTED!I28)</f>
        <v xml:space="preserve"> </v>
      </c>
      <c r="J28" s="317"/>
      <c r="K28" s="233"/>
      <c r="L28" s="317"/>
      <c r="M28" s="318"/>
      <c r="N28" s="2134" t="e">
        <f>+F28-UNRESTRICTED!F28-RESTRICTED!F28</f>
        <v>#VALUE!</v>
      </c>
      <c r="O28" s="2134" t="e">
        <f>+G28-UNRESTRICTED!G28-RESTRICTED!G28</f>
        <v>#VALUE!</v>
      </c>
      <c r="P28" s="2134" t="e">
        <f>+H28-UNRESTRICTED!H28-RESTRICTED!H28</f>
        <v>#VALUE!</v>
      </c>
      <c r="Q28" s="2134" t="e">
        <f>+I28-UNRESTRICTED!I28-RESTRICTED!I28</f>
        <v>#VALUE!</v>
      </c>
      <c r="R28" s="1175"/>
    </row>
    <row r="29" spans="1:19" s="309" customFormat="1" ht="16.5" hidden="1" customHeight="1" x14ac:dyDescent="0.25">
      <c r="A29" s="2066"/>
      <c r="B29" s="2067"/>
      <c r="C29" s="1111" t="str">
        <f>IF(UNRESTRICTED!C29=0," ",UNRESTRICTED!C29)</f>
        <v xml:space="preserve"> </v>
      </c>
      <c r="D29" s="1111"/>
      <c r="E29" s="1112" t="str">
        <f>IF(UNRESTRICTED!E29=0," ",UNRESTRICTED!E29)</f>
        <v xml:space="preserve"> </v>
      </c>
      <c r="F29" s="1808" t="str">
        <f>IF(UNRESTRICTED!F29=0," ",UNRESTRICTED!F29)</f>
        <v xml:space="preserve"> </v>
      </c>
      <c r="G29" s="1870" t="str">
        <f>IF(UNRESTRICTED!G29=0," ",UNRESTRICTED!G29)</f>
        <v xml:space="preserve"> </v>
      </c>
      <c r="H29" s="1842" t="str">
        <f>IF(UNRESTRICTED!H29=0," ",UNRESTRICTED!H29)</f>
        <v xml:space="preserve"> </v>
      </c>
      <c r="I29" s="1113" t="str">
        <f>IF(UNRESTRICTED!I29=0," ",UNRESTRICTED!I29)</f>
        <v xml:space="preserve"> </v>
      </c>
      <c r="J29" s="317"/>
      <c r="K29" s="233"/>
      <c r="L29" s="317"/>
      <c r="M29" s="318"/>
      <c r="N29" s="2134" t="e">
        <f>+F29-UNRESTRICTED!F29-RESTRICTED!F29</f>
        <v>#VALUE!</v>
      </c>
      <c r="O29" s="2134" t="e">
        <f>+G29-UNRESTRICTED!G29-RESTRICTED!G29</f>
        <v>#VALUE!</v>
      </c>
      <c r="P29" s="2134" t="e">
        <f>+H29-UNRESTRICTED!H29-RESTRICTED!H29</f>
        <v>#VALUE!</v>
      </c>
      <c r="Q29" s="2134" t="e">
        <f>+I29-UNRESTRICTED!I29-RESTRICTED!I29</f>
        <v>#VALUE!</v>
      </c>
      <c r="R29" s="1175"/>
    </row>
    <row r="30" spans="1:19" s="309" customFormat="1" ht="16.5" hidden="1" customHeight="1" x14ac:dyDescent="0.25">
      <c r="A30" s="2066"/>
      <c r="B30" s="2067"/>
      <c r="C30" s="1111" t="str">
        <f>IF(UNRESTRICTED!C30=0," ",UNRESTRICTED!C30)</f>
        <v xml:space="preserve"> </v>
      </c>
      <c r="D30" s="1111"/>
      <c r="E30" s="1112" t="str">
        <f>IF(UNRESTRICTED!E30=0," ",UNRESTRICTED!E30)</f>
        <v xml:space="preserve"> </v>
      </c>
      <c r="F30" s="1604" t="str">
        <f>IF(UNRESTRICTED!F30=0," ",UNRESTRICTED!F30)</f>
        <v xml:space="preserve"> </v>
      </c>
      <c r="G30" s="1680" t="str">
        <f>IF(UNRESTRICTED!G30=0," ",UNRESTRICTED!G30)</f>
        <v xml:space="preserve"> </v>
      </c>
      <c r="H30" s="1643" t="str">
        <f>IF(UNRESTRICTED!H30=0," ",UNRESTRICTED!H30)</f>
        <v xml:space="preserve"> </v>
      </c>
      <c r="I30" s="1039" t="str">
        <f>IF(UNRESTRICTED!I30=0," ",UNRESTRICTED!I30)</f>
        <v xml:space="preserve"> </v>
      </c>
      <c r="J30" s="317"/>
      <c r="K30" s="233"/>
      <c r="L30" s="317"/>
      <c r="M30" s="318"/>
      <c r="N30" s="2134" t="e">
        <f>+F30-UNRESTRICTED!F30-RESTRICTED!F30</f>
        <v>#VALUE!</v>
      </c>
      <c r="O30" s="2134" t="e">
        <f>+G30-UNRESTRICTED!G30-RESTRICTED!G30</f>
        <v>#VALUE!</v>
      </c>
      <c r="P30" s="2134" t="e">
        <f>+H30-UNRESTRICTED!H30-RESTRICTED!H30</f>
        <v>#VALUE!</v>
      </c>
      <c r="Q30" s="2134" t="e">
        <f>+I30-UNRESTRICTED!I30-RESTRICTED!I30</f>
        <v>#VALUE!</v>
      </c>
      <c r="R30" s="1175"/>
    </row>
    <row r="31" spans="1:19" s="309" customFormat="1" ht="16.5" hidden="1" customHeight="1" x14ac:dyDescent="0.25">
      <c r="A31" s="2066"/>
      <c r="B31" s="2067"/>
      <c r="C31" s="1111" t="str">
        <f>IF(UNRESTRICTED!C31=0," ",UNRESTRICTED!C31)</f>
        <v xml:space="preserve"> </v>
      </c>
      <c r="D31" s="1111"/>
      <c r="E31" s="1112" t="str">
        <f>IF(UNRESTRICTED!E31=0," ",UNRESTRICTED!E31)</f>
        <v xml:space="preserve"> </v>
      </c>
      <c r="F31" s="1604" t="str">
        <f>IF(UNRESTRICTED!F31=0," ",UNRESTRICTED!F31)</f>
        <v xml:space="preserve"> </v>
      </c>
      <c r="G31" s="1680" t="str">
        <f>IF(UNRESTRICTED!G31=0," ",UNRESTRICTED!G31)</f>
        <v xml:space="preserve"> </v>
      </c>
      <c r="H31" s="1643" t="str">
        <f>IF(UNRESTRICTED!H31=0," ",UNRESTRICTED!H31)</f>
        <v xml:space="preserve"> </v>
      </c>
      <c r="I31" s="1039" t="str">
        <f>IF(UNRESTRICTED!I31=0," ",UNRESTRICTED!I31)</f>
        <v xml:space="preserve"> </v>
      </c>
      <c r="J31" s="317"/>
      <c r="K31" s="233"/>
      <c r="L31" s="317"/>
      <c r="M31" s="318"/>
      <c r="N31" s="2134" t="e">
        <f>+F31-UNRESTRICTED!F31-RESTRICTED!F31</f>
        <v>#VALUE!</v>
      </c>
      <c r="O31" s="2134" t="e">
        <f>+G31-UNRESTRICTED!G31-RESTRICTED!G31</f>
        <v>#VALUE!</v>
      </c>
      <c r="P31" s="2134" t="e">
        <f>+H31-UNRESTRICTED!H31-RESTRICTED!H31</f>
        <v>#VALUE!</v>
      </c>
      <c r="Q31" s="2134" t="e">
        <f>+I31-UNRESTRICTED!I31-RESTRICTED!I31</f>
        <v>#VALUE!</v>
      </c>
      <c r="R31" s="1175"/>
    </row>
    <row r="32" spans="1:19" s="309" customFormat="1" ht="16.5" customHeight="1" x14ac:dyDescent="0.25">
      <c r="A32" s="1932"/>
      <c r="B32" s="1109"/>
      <c r="C32" s="1109" t="s">
        <v>368</v>
      </c>
      <c r="D32" s="1109"/>
      <c r="E32" s="919">
        <f>UNRESTRICTED!E32+RESTRICTED!E32</f>
        <v>0</v>
      </c>
      <c r="F32" s="1807"/>
      <c r="G32" s="1670"/>
      <c r="H32" s="1843"/>
      <c r="I32" s="1000"/>
      <c r="J32" s="317">
        <f>UNRESTRICTED!J32+RESTRICTED!J32</f>
        <v>0</v>
      </c>
      <c r="K32" s="233">
        <f>UNRESTRICTED!K32+RESTRICTED!K32</f>
        <v>0</v>
      </c>
      <c r="L32" s="317">
        <f>UNRESTRICTED!L32+RESTRICTED!L32</f>
        <v>0</v>
      </c>
      <c r="M32" s="318"/>
      <c r="N32" s="2134">
        <f>+F32-UNRESTRICTED!F32-RESTRICTED!F32</f>
        <v>0</v>
      </c>
      <c r="O32" s="2134">
        <f>+G32-UNRESTRICTED!G32-RESTRICTED!G32</f>
        <v>0</v>
      </c>
      <c r="P32" s="2134">
        <f>+H32-UNRESTRICTED!H32-RESTRICTED!H32</f>
        <v>0</v>
      </c>
      <c r="Q32" s="2134">
        <f>+I32-UNRESTRICTED!I32-RESTRICTED!I32</f>
        <v>0</v>
      </c>
      <c r="R32" s="1175"/>
    </row>
    <row r="33" spans="1:18" s="322" customFormat="1" ht="16.5" customHeight="1" x14ac:dyDescent="0.25">
      <c r="A33" s="2058"/>
      <c r="B33" s="1934"/>
      <c r="C33" s="1934"/>
      <c r="D33" s="1960" t="s">
        <v>76</v>
      </c>
      <c r="E33" s="922">
        <f>UNRESTRICTED!E33+RESTRICTED!E33</f>
        <v>0</v>
      </c>
      <c r="F33" s="1809">
        <f>UNRESTRICTED!F33+RESTRICTED!F33</f>
        <v>4890976</v>
      </c>
      <c r="G33" s="1669">
        <f>UNRESTRICTED!G33+RESTRICTED!G33</f>
        <v>5690664</v>
      </c>
      <c r="H33" s="1830">
        <f>UNRESTRICTED!H33+RESTRICTED!H33</f>
        <v>6369303</v>
      </c>
      <c r="I33" s="1001">
        <f>UNRESTRICTED!I33+RESTRICTED!I33</f>
        <v>7197938</v>
      </c>
      <c r="J33" s="319">
        <f>UNRESTRICTED!J33+RESTRICTED!J33</f>
        <v>7609547.0901886756</v>
      </c>
      <c r="K33" s="320">
        <f>UNRESTRICTED!K33+RESTRICTED!K33</f>
        <v>8471796.4247405529</v>
      </c>
      <c r="L33" s="319">
        <f>UNRESTRICTED!L33+RESTRICTED!L33</f>
        <v>9358201.0912336912</v>
      </c>
      <c r="M33" s="321"/>
      <c r="N33" s="2134">
        <f>+F33-UNRESTRICTED!F33-RESTRICTED!F33</f>
        <v>0</v>
      </c>
      <c r="O33" s="2134">
        <f>+G33-UNRESTRICTED!G33-RESTRICTED!G33</f>
        <v>0</v>
      </c>
      <c r="P33" s="2134">
        <f>+H33-UNRESTRICTED!H33-RESTRICTED!H33</f>
        <v>0</v>
      </c>
      <c r="Q33" s="2134">
        <f>+I33-UNRESTRICTED!I33-RESTRICTED!I33</f>
        <v>0</v>
      </c>
      <c r="R33" s="1176"/>
    </row>
    <row r="34" spans="1:18" s="322" customFormat="1" ht="16.5" customHeight="1" x14ac:dyDescent="0.25">
      <c r="A34" s="2058"/>
      <c r="B34" s="1934"/>
      <c r="C34" s="1934"/>
      <c r="D34" s="1960" t="s">
        <v>77</v>
      </c>
      <c r="E34" s="922">
        <f>UNRESTRICTED!E34+RESTRICTED!E34</f>
        <v>0</v>
      </c>
      <c r="F34" s="1809">
        <f>UNRESTRICTED!F34+RESTRICTED!F34</f>
        <v>1515855</v>
      </c>
      <c r="G34" s="1669">
        <f>UNRESTRICTED!G34+RESTRICTED!G34</f>
        <v>1901098</v>
      </c>
      <c r="H34" s="1830">
        <f>UNRESTRICTED!H34+RESTRICTED!H34</f>
        <v>2300426</v>
      </c>
      <c r="I34" s="1001">
        <f>UNRESTRICTED!I34+RESTRICTED!I34</f>
        <v>2683620</v>
      </c>
      <c r="J34" s="319">
        <f>UNRESTRICTED!J34+RESTRICTED!J34</f>
        <v>3129061.9013043996</v>
      </c>
      <c r="K34" s="320">
        <f>UNRESTRICTED!K34+RESTRICTED!K34</f>
        <v>3367323.0002952889</v>
      </c>
      <c r="L34" s="319">
        <f>UNRESTRICTED!L34+RESTRICTED!L34</f>
        <v>3547296.2106519798</v>
      </c>
      <c r="M34" s="321"/>
      <c r="N34" s="2134">
        <f>+F34-UNRESTRICTED!F34-RESTRICTED!F34</f>
        <v>0</v>
      </c>
      <c r="O34" s="2134">
        <f>+G34-UNRESTRICTED!G34-RESTRICTED!G34</f>
        <v>0</v>
      </c>
      <c r="P34" s="2134">
        <f>+H34-UNRESTRICTED!H34-RESTRICTED!H34</f>
        <v>0</v>
      </c>
      <c r="Q34" s="2134">
        <f>+I34-UNRESTRICTED!I34-RESTRICTED!I34</f>
        <v>0</v>
      </c>
      <c r="R34" s="1176"/>
    </row>
    <row r="35" spans="1:18" s="309" customFormat="1" ht="16.5" customHeight="1" x14ac:dyDescent="0.25">
      <c r="A35" s="1932"/>
      <c r="B35" s="1109"/>
      <c r="C35" s="1109"/>
      <c r="D35" s="1957" t="s">
        <v>410</v>
      </c>
      <c r="E35" s="919">
        <f>UNRESTRICTED!E35+RESTRICTED!E35</f>
        <v>0</v>
      </c>
      <c r="F35" s="1807">
        <f>UNRESTRICTED!F35+RESTRICTED!F35</f>
        <v>678151</v>
      </c>
      <c r="G35" s="1670">
        <f>UNRESTRICTED!G35+RESTRICTED!G35</f>
        <v>760986</v>
      </c>
      <c r="H35" s="1829">
        <f>UNRESTRICTED!H35+RESTRICTED!H35</f>
        <v>793487</v>
      </c>
      <c r="I35" s="1000">
        <f>UNRESTRICTED!I35+RESTRICTED!I35</f>
        <v>805528</v>
      </c>
      <c r="J35" s="317">
        <f>UNRESTRICTED!J35+RESTRICTED!J35</f>
        <v>779123.8469111356</v>
      </c>
      <c r="K35" s="233">
        <f>UNRESTRICTED!K35+RESTRICTED!K35</f>
        <v>790810.70461480261</v>
      </c>
      <c r="L35" s="317">
        <f>UNRESTRICTED!L35+RESTRICTED!L35</f>
        <v>802672.86518402456</v>
      </c>
      <c r="M35" s="318"/>
      <c r="N35" s="2134">
        <f>+F35-UNRESTRICTED!F35-RESTRICTED!F35</f>
        <v>0</v>
      </c>
      <c r="O35" s="2134">
        <f>+G35-UNRESTRICTED!G35-RESTRICTED!G35</f>
        <v>0</v>
      </c>
      <c r="P35" s="2134">
        <f>+H35-UNRESTRICTED!H35-RESTRICTED!H35</f>
        <v>0</v>
      </c>
      <c r="Q35" s="2134">
        <f>+I35-UNRESTRICTED!I35-RESTRICTED!I35</f>
        <v>0</v>
      </c>
      <c r="R35" s="1175"/>
    </row>
    <row r="36" spans="1:18" s="309" customFormat="1" ht="16.5" customHeight="1" x14ac:dyDescent="0.25">
      <c r="A36" s="1932"/>
      <c r="B36" s="1109"/>
      <c r="C36" s="1109"/>
      <c r="D36" s="1957" t="s">
        <v>79</v>
      </c>
      <c r="E36" s="919">
        <f>UNRESTRICTED!E36+RESTRICTED!E36</f>
        <v>0</v>
      </c>
      <c r="F36" s="1807">
        <f>UNRESTRICTED!F36+RESTRICTED!F36</f>
        <v>715831</v>
      </c>
      <c r="G36" s="1670">
        <f>UNRESTRICTED!G36+RESTRICTED!G36</f>
        <v>754812</v>
      </c>
      <c r="H36" s="1829">
        <f>UNRESTRICTED!H36+RESTRICTED!H36</f>
        <v>752862</v>
      </c>
      <c r="I36" s="1000">
        <f>UNRESTRICTED!I36+RESTRICTED!I36</f>
        <v>764086</v>
      </c>
      <c r="J36" s="317">
        <f>UNRESTRICTED!J36+RESTRICTED!J36</f>
        <v>759902.57795136038</v>
      </c>
      <c r="K36" s="233">
        <f>UNRESTRICTED!K36+RESTRICTED!K36</f>
        <v>771301.11662063072</v>
      </c>
      <c r="L36" s="317">
        <f>UNRESTRICTED!L36+RESTRICTED!L36</f>
        <v>782870.6333699401</v>
      </c>
      <c r="M36" s="318"/>
      <c r="N36" s="2134">
        <f>+F36-UNRESTRICTED!F36-RESTRICTED!F36</f>
        <v>0</v>
      </c>
      <c r="O36" s="2134">
        <f>+G36-UNRESTRICTED!G36-RESTRICTED!G36</f>
        <v>0</v>
      </c>
      <c r="P36" s="2134">
        <f>+H36-UNRESTRICTED!H36-RESTRICTED!H36</f>
        <v>0</v>
      </c>
      <c r="Q36" s="2134">
        <f>+I36-UNRESTRICTED!I36-RESTRICTED!I36</f>
        <v>0</v>
      </c>
      <c r="R36" s="1175"/>
    </row>
    <row r="37" spans="1:18" s="309" customFormat="1" ht="16.5" customHeight="1" x14ac:dyDescent="0.25">
      <c r="A37" s="1932"/>
      <c r="B37" s="1109"/>
      <c r="C37" s="1109"/>
      <c r="D37" s="1957" t="s">
        <v>80</v>
      </c>
      <c r="E37" s="919">
        <f>UNRESTRICTED!E37+RESTRICTED!E38</f>
        <v>0</v>
      </c>
      <c r="F37" s="1807">
        <f>+UNRESTRICTED!F37+RESTRICTED!F37</f>
        <v>4958959</v>
      </c>
      <c r="G37" s="1670">
        <f>+UNRESTRICTED!G37+RESTRICTED!G37</f>
        <v>5295808</v>
      </c>
      <c r="H37" s="1829">
        <f>+UNRESTRICTED!H37+RESTRICTED!H37</f>
        <v>5658451</v>
      </c>
      <c r="I37" s="1000">
        <f>+UNRESTRICTED!I37+RESTRICTED!I37</f>
        <v>6054544</v>
      </c>
      <c r="J37" s="317">
        <f>UNRESTRICTED!J37+RESTRICTED!J38</f>
        <v>26203.537170736563</v>
      </c>
      <c r="K37" s="233">
        <f>UNRESTRICTED!K37+RESTRICTED!K38</f>
        <v>26596.590228297613</v>
      </c>
      <c r="L37" s="317">
        <f>UNRESTRICTED!L37+RESTRICTED!L38</f>
        <v>26995.539081722076</v>
      </c>
      <c r="M37" s="318"/>
      <c r="N37" s="2134">
        <f>+F37-UNRESTRICTED!F37-RESTRICTED!F37</f>
        <v>0</v>
      </c>
      <c r="O37" s="2134">
        <f>+G37-UNRESTRICTED!G37-RESTRICTED!G37</f>
        <v>0</v>
      </c>
      <c r="P37" s="2134">
        <f>+H37-UNRESTRICTED!H37-RESTRICTED!H37</f>
        <v>0</v>
      </c>
      <c r="Q37" s="2134">
        <f>+I37-UNRESTRICTED!I37-RESTRICTED!I37</f>
        <v>0</v>
      </c>
      <c r="R37" s="1175"/>
    </row>
    <row r="38" spans="1:18" s="309" customFormat="1" ht="16.5" customHeight="1" x14ac:dyDescent="0.25">
      <c r="A38" s="1932"/>
      <c r="B38" s="1109"/>
      <c r="C38" s="1109"/>
      <c r="D38" s="1957" t="s">
        <v>81</v>
      </c>
      <c r="E38" s="919">
        <f>UNRESTRICTED!E38+RESTRICTED!E39</f>
        <v>0</v>
      </c>
      <c r="F38" s="1807">
        <f>+UNRESTRICTED!F38+RESTRICTED!F38</f>
        <v>24995</v>
      </c>
      <c r="G38" s="1670">
        <f>+UNRESTRICTED!G38+RESTRICTED!G38</f>
        <v>26082</v>
      </c>
      <c r="H38" s="1829">
        <f>+UNRESTRICTED!H38+RESTRICTED!H38</f>
        <v>25959</v>
      </c>
      <c r="I38" s="1000">
        <f>+UNRESTRICTED!I38+RESTRICTED!I38</f>
        <v>26347</v>
      </c>
      <c r="J38" s="317">
        <f>UNRESTRICTED!J38+RESTRICTED!J39</f>
        <v>524070.74341473135</v>
      </c>
      <c r="K38" s="233">
        <f>UNRESTRICTED!K38+RESTRICTED!K39</f>
        <v>531931.80456595216</v>
      </c>
      <c r="L38" s="317">
        <f>UNRESTRICTED!L38+RESTRICTED!L39</f>
        <v>539910.78163444146</v>
      </c>
      <c r="M38" s="318"/>
      <c r="N38" s="2134">
        <f>+F38-UNRESTRICTED!F38-RESTRICTED!F38</f>
        <v>0</v>
      </c>
      <c r="O38" s="2134">
        <f>+G38-UNRESTRICTED!G38-RESTRICTED!G38</f>
        <v>0</v>
      </c>
      <c r="P38" s="2134">
        <f>+H38-UNRESTRICTED!H38-RESTRICTED!H38</f>
        <v>0</v>
      </c>
      <c r="Q38" s="2134">
        <f>+I38-UNRESTRICTED!I38-RESTRICTED!I38</f>
        <v>0</v>
      </c>
      <c r="R38" s="1175"/>
    </row>
    <row r="39" spans="1:18" s="330" customFormat="1" ht="18" x14ac:dyDescent="0.25">
      <c r="A39" s="1955"/>
      <c r="B39" s="1957"/>
      <c r="C39" s="1957"/>
      <c r="D39" s="1957" t="s">
        <v>82</v>
      </c>
      <c r="E39" s="928">
        <f>UNRESTRICTED!E39+RESTRICTED!E37</f>
        <v>0</v>
      </c>
      <c r="F39" s="1807">
        <f>+UNRESTRICTED!F39+RESTRICTED!F39</f>
        <v>549105.77</v>
      </c>
      <c r="G39" s="1684">
        <f>+UNRESTRICTED!G39+RESTRICTED!G39</f>
        <v>572636</v>
      </c>
      <c r="H39" s="1844">
        <f>+UNRESTRICTED!H39+RESTRICTED!H39</f>
        <v>571138</v>
      </c>
      <c r="I39" s="1009">
        <f>+UNRESTRICTED!I39+RESTRICTED!I39</f>
        <v>579653</v>
      </c>
      <c r="J39" s="328">
        <f>UNRESTRICTED!J39+RESTRICTED!J37</f>
        <v>6897745.6706393715</v>
      </c>
      <c r="K39" s="327">
        <f>UNRESTRICTED!K39+RESTRICTED!K37</f>
        <v>7242632.9541713409</v>
      </c>
      <c r="L39" s="328">
        <f>UNRESTRICTED!L39+RESTRICTED!L37</f>
        <v>7604764.6018799078</v>
      </c>
      <c r="M39" s="329"/>
      <c r="N39" s="2134">
        <f>+F39-UNRESTRICTED!F39-RESTRICTED!F39</f>
        <v>0</v>
      </c>
      <c r="O39" s="2134">
        <f>+G39-UNRESTRICTED!G39-RESTRICTED!G39</f>
        <v>0</v>
      </c>
      <c r="P39" s="2134">
        <f>+H39-UNRESTRICTED!H39-RESTRICTED!H39</f>
        <v>0</v>
      </c>
      <c r="Q39" s="2134">
        <f>+I39-UNRESTRICTED!I39-RESTRICTED!I39</f>
        <v>0</v>
      </c>
      <c r="R39" s="1178"/>
    </row>
    <row r="40" spans="1:18" s="330" customFormat="1" ht="18" x14ac:dyDescent="0.25">
      <c r="A40" s="1955"/>
      <c r="B40" s="1957"/>
      <c r="C40" s="1957"/>
      <c r="D40" s="1957" t="s">
        <v>92</v>
      </c>
      <c r="E40" s="928"/>
      <c r="F40" s="1807">
        <f>+RESTRICTED!F40+UNRESTRICTED!F40</f>
        <v>337621</v>
      </c>
      <c r="G40" s="1684">
        <f>+RESTRICTED!G40+UNRESTRICTED!G40</f>
        <v>415604</v>
      </c>
      <c r="H40" s="1844">
        <f>+RESTRICTED!H40+UNRESTRICTED!H40</f>
        <v>415604</v>
      </c>
      <c r="I40" s="1009">
        <f>+RESTRICTED!I40+UNRESTRICTED!I40</f>
        <v>415604</v>
      </c>
      <c r="J40" s="328"/>
      <c r="K40" s="327"/>
      <c r="L40" s="328"/>
      <c r="M40" s="329"/>
      <c r="N40" s="2134">
        <f>+F40-RESTRICTED!F40-UNRESTRICTED!F40</f>
        <v>0</v>
      </c>
      <c r="O40" s="2134">
        <f>+G40-RESTRICTED!G40-UNRESTRICTED!G40</f>
        <v>0</v>
      </c>
      <c r="P40" s="2134">
        <f>+H40-RESTRICTED!H40-UNRESTRICTED!H40</f>
        <v>0</v>
      </c>
      <c r="Q40" s="2134">
        <f>+I40-RESTRICTED!I40-UNRESTRICTED!I40</f>
        <v>0</v>
      </c>
      <c r="R40" s="1178"/>
    </row>
    <row r="41" spans="1:18" s="330" customFormat="1" ht="18" x14ac:dyDescent="0.25">
      <c r="A41" s="1955"/>
      <c r="B41" s="1957"/>
      <c r="C41" s="1957"/>
      <c r="D41" s="1957" t="s">
        <v>93</v>
      </c>
      <c r="E41" s="928"/>
      <c r="F41" s="1807">
        <f>+RESTRICTED!F41+UNRESTRICTED!F41</f>
        <v>378894</v>
      </c>
      <c r="G41" s="1684">
        <f>+RESTRICTED!G41+UNRESTRICTED!G41</f>
        <v>412954</v>
      </c>
      <c r="H41" s="1844">
        <f>+RESTRICTED!H41+UNRESTRICTED!H41</f>
        <v>435299</v>
      </c>
      <c r="I41" s="1009">
        <f>+RESTRICTED!I41+UNRESTRICTED!I41</f>
        <v>460278</v>
      </c>
      <c r="J41" s="328"/>
      <c r="K41" s="327"/>
      <c r="L41" s="328"/>
      <c r="M41" s="329"/>
      <c r="N41" s="2134">
        <f>+F41-RESTRICTED!F41-UNRESTRICTED!F41</f>
        <v>0</v>
      </c>
      <c r="O41" s="2134">
        <f>+G41-RESTRICTED!G41-UNRESTRICTED!G41</f>
        <v>0</v>
      </c>
      <c r="P41" s="2134">
        <f>+H41-RESTRICTED!H41-UNRESTRICTED!H41</f>
        <v>0</v>
      </c>
      <c r="Q41" s="2134">
        <f>+I41-RESTRICTED!I41-UNRESTRICTED!I41</f>
        <v>0</v>
      </c>
      <c r="R41" s="1178"/>
    </row>
    <row r="42" spans="1:18" s="309" customFormat="1" ht="27" customHeight="1" x14ac:dyDescent="0.25">
      <c r="A42" s="1932"/>
      <c r="B42" s="1109"/>
      <c r="C42" s="1109" t="s">
        <v>370</v>
      </c>
      <c r="D42" s="1109"/>
      <c r="E42" s="919">
        <f>UNRESTRICTED!E42+RESTRICTED!E42</f>
        <v>0</v>
      </c>
      <c r="F42" s="1794">
        <f>UNRESTRICTED!F42+RESTRICTED!F42</f>
        <v>2262649.34</v>
      </c>
      <c r="G42" s="1670">
        <f>UNRESTRICTED!G42+RESTRICTED!G42</f>
        <v>1910068</v>
      </c>
      <c r="H42" s="1829">
        <f>UNRESTRICTED!H42+RESTRICTED!H42</f>
        <v>1326036</v>
      </c>
      <c r="I42" s="1000">
        <f>UNRESTRICTED!I42+RESTRICTED!I42</f>
        <v>1296958</v>
      </c>
      <c r="J42" s="317" t="e">
        <f>UNRESTRICTED!J42+RESTRICTED!J42</f>
        <v>#REF!</v>
      </c>
      <c r="K42" s="233" t="e">
        <f>UNRESTRICTED!K42+RESTRICTED!K42</f>
        <v>#REF!</v>
      </c>
      <c r="L42" s="317" t="e">
        <f>UNRESTRICTED!L42+RESTRICTED!L42</f>
        <v>#REF!</v>
      </c>
      <c r="M42" s="318"/>
      <c r="N42" s="2134">
        <f>+F42-UNRESTRICTED!F42-RESTRICTED!F42</f>
        <v>0</v>
      </c>
      <c r="O42" s="2134">
        <f>+G42-UNRESTRICTED!G42-RESTRICTED!G42</f>
        <v>0</v>
      </c>
      <c r="P42" s="2134">
        <f>+H42-UNRESTRICTED!H42-RESTRICTED!H42</f>
        <v>0</v>
      </c>
      <c r="Q42" s="2134">
        <f>+I42-UNRESTRICTED!I42-RESTRICTED!I42</f>
        <v>0</v>
      </c>
      <c r="R42" s="1175"/>
    </row>
    <row r="43" spans="1:18" s="334" customFormat="1" ht="18" x14ac:dyDescent="0.2">
      <c r="A43" s="1958"/>
      <c r="B43" s="1960"/>
      <c r="C43" s="1960"/>
      <c r="D43" s="1961" t="s">
        <v>723</v>
      </c>
      <c r="E43" s="930">
        <f>UNRESTRICTED!E43+RESTRICTED!E43</f>
        <v>0</v>
      </c>
      <c r="F43" s="1810">
        <f>UNRESTRICTED!F43+RESTRICTED!F43</f>
        <v>2587828.77</v>
      </c>
      <c r="G43" s="1685">
        <f>UNRESTRICTED!G43+RESTRICTED!G43</f>
        <v>3404076</v>
      </c>
      <c r="H43" s="1845">
        <f>UNRESTRICTED!H43+RESTRICTED!H43</f>
        <v>407811.08000000007</v>
      </c>
      <c r="I43" s="1010">
        <f>UNRESTRICTED!I43+RESTRICTED!I43</f>
        <v>365118</v>
      </c>
      <c r="J43" s="331">
        <f>UNRESTRICTED!J43+RESTRICTED!J43</f>
        <v>750000</v>
      </c>
      <c r="K43" s="332">
        <f>UNRESTRICTED!K43+RESTRICTED!K43</f>
        <v>350000</v>
      </c>
      <c r="L43" s="331">
        <f>UNRESTRICTED!L43+RESTRICTED!L43</f>
        <v>2550000</v>
      </c>
      <c r="M43" s="333"/>
      <c r="N43" s="2134">
        <f>+F43-UNRESTRICTED!F43-RESTRICTED!F43</f>
        <v>0</v>
      </c>
      <c r="O43" s="2134">
        <f>+G43-UNRESTRICTED!G43-RESTRICTED!G43</f>
        <v>0</v>
      </c>
      <c r="P43" s="2134">
        <f>+H43-UNRESTRICTED!H43-RESTRICTED!H43</f>
        <v>0</v>
      </c>
      <c r="Q43" s="2134">
        <f>+I43-UNRESTRICTED!I43-RESTRICTED!I43</f>
        <v>0</v>
      </c>
      <c r="R43" s="1179"/>
    </row>
    <row r="44" spans="1:18" s="309" customFormat="1" ht="21" customHeight="1" x14ac:dyDescent="0.25">
      <c r="A44" s="1932"/>
      <c r="B44" s="1109"/>
      <c r="C44" s="1109" t="s">
        <v>371</v>
      </c>
      <c r="D44" s="1109"/>
      <c r="E44" s="919">
        <f>+UNRESTRICTED!E44+RESTRICTED!E44</f>
        <v>0</v>
      </c>
      <c r="F44" s="1794">
        <f>+UNRESTRICTED!F44+RESTRICTED!F44</f>
        <v>9659501.4000000004</v>
      </c>
      <c r="G44" s="1670">
        <f>+UNRESTRICTED!G44+RESTRICTED!G44</f>
        <v>8853646</v>
      </c>
      <c r="H44" s="1829">
        <f>+UNRESTRICTED!H44+RESTRICTED!H44</f>
        <v>7178745.8300000001</v>
      </c>
      <c r="I44" s="1000">
        <f>+UNRESTRICTED!I44+RESTRICTED!I44</f>
        <v>7172752</v>
      </c>
      <c r="J44" s="317" t="e">
        <f>+UNRESTRICTED!J44+RESTRICTED!J44</f>
        <v>#REF!</v>
      </c>
      <c r="K44" s="233" t="e">
        <f>+UNRESTRICTED!K44+RESTRICTED!K44</f>
        <v>#REF!</v>
      </c>
      <c r="L44" s="317" t="e">
        <f>+UNRESTRICTED!L44+RESTRICTED!L44</f>
        <v>#REF!</v>
      </c>
      <c r="M44" s="318"/>
      <c r="N44" s="2134">
        <f>+F44-UNRESTRICTED!F44-RESTRICTED!F44</f>
        <v>0</v>
      </c>
      <c r="O44" s="2134">
        <f>+G44-UNRESTRICTED!G44-RESTRICTED!G44</f>
        <v>0</v>
      </c>
      <c r="P44" s="2134">
        <f>+H44-UNRESTRICTED!H44-RESTRICTED!H44</f>
        <v>0</v>
      </c>
      <c r="Q44" s="2134">
        <f>+I44-UNRESTRICTED!I44-RESTRICTED!I44</f>
        <v>0</v>
      </c>
      <c r="R44" s="1175"/>
    </row>
    <row r="45" spans="1:18" s="309" customFormat="1" ht="16.5" customHeight="1" x14ac:dyDescent="0.25">
      <c r="A45" s="1932"/>
      <c r="B45" s="1109"/>
      <c r="C45" s="1109"/>
      <c r="D45" s="1934" t="str">
        <f>+UNRESTRICTED!D45</f>
        <v>Printing Services for Adopted Textbook Consumables</v>
      </c>
      <c r="E45" s="919"/>
      <c r="F45" s="1795">
        <f>+UNRESTRICTED!F45</f>
        <v>43200</v>
      </c>
      <c r="G45" s="1669">
        <f>+UNRESTRICTED!G45</f>
        <v>42500</v>
      </c>
      <c r="H45" s="1830">
        <f>+UNRESTRICTED!H45</f>
        <v>42500</v>
      </c>
      <c r="I45" s="1001">
        <f>+UNRESTRICTED!I45</f>
        <v>42500</v>
      </c>
      <c r="J45" s="317"/>
      <c r="K45" s="233"/>
      <c r="L45" s="317"/>
      <c r="M45" s="318"/>
      <c r="N45" s="2134">
        <f>+F45-UNRESTRICTED!F45-RESTRICTED!F45</f>
        <v>0</v>
      </c>
      <c r="O45" s="2134">
        <f>+G45-UNRESTRICTED!G45-RESTRICTED!G45</f>
        <v>0</v>
      </c>
      <c r="P45" s="2134">
        <f>+H45-UNRESTRICTED!H45-RESTRICTED!H45</f>
        <v>0</v>
      </c>
      <c r="Q45" s="2134">
        <f>+I45-UNRESTRICTED!I45-RESTRICTED!I45</f>
        <v>0</v>
      </c>
      <c r="R45" s="1175"/>
    </row>
    <row r="46" spans="1:18" s="309" customFormat="1" ht="21" customHeight="1" x14ac:dyDescent="0.25">
      <c r="A46" s="1932"/>
      <c r="B46" s="1109"/>
      <c r="C46" s="1109" t="s">
        <v>342</v>
      </c>
      <c r="D46" s="1109"/>
      <c r="E46" s="919">
        <f>+UNRESTRICTED!E46+RESTRICTED!E46</f>
        <v>0</v>
      </c>
      <c r="F46" s="1794">
        <f>+UNRESTRICTED!F46+RESTRICTED!F46</f>
        <v>1681088</v>
      </c>
      <c r="G46" s="1670">
        <f>+UNRESTRICTED!G46+RESTRICTED!G46</f>
        <v>3048604</v>
      </c>
      <c r="H46" s="1829">
        <f>+UNRESTRICTED!H46+RESTRICTED!H46</f>
        <v>200000</v>
      </c>
      <c r="I46" s="1000">
        <f>+UNRESTRICTED!I46+RESTRICTED!I46</f>
        <v>150000</v>
      </c>
      <c r="J46" s="317" t="e">
        <f>+UNRESTRICTED!J46+RESTRICTED!J46</f>
        <v>#REF!</v>
      </c>
      <c r="K46" s="233" t="e">
        <f>+UNRESTRICTED!K46+RESTRICTED!K46</f>
        <v>#REF!</v>
      </c>
      <c r="L46" s="317" t="e">
        <f>+UNRESTRICTED!L46+RESTRICTED!L46</f>
        <v>#REF!</v>
      </c>
      <c r="M46" s="318"/>
      <c r="N46" s="2134">
        <f>+F46-UNRESTRICTED!F46-RESTRICTED!F46</f>
        <v>0</v>
      </c>
      <c r="O46" s="2134">
        <f>+G46-UNRESTRICTED!G46-RESTRICTED!G46</f>
        <v>0</v>
      </c>
      <c r="P46" s="2134">
        <f>+H46-UNRESTRICTED!H46-RESTRICTED!H46</f>
        <v>0</v>
      </c>
      <c r="Q46" s="2134">
        <f>+I46-UNRESTRICTED!I46-RESTRICTED!I46</f>
        <v>0</v>
      </c>
      <c r="R46" s="1175"/>
    </row>
    <row r="47" spans="1:18" s="309" customFormat="1" ht="16.5" customHeight="1" x14ac:dyDescent="0.25">
      <c r="A47" s="1932"/>
      <c r="B47" s="1109"/>
      <c r="C47" s="1109" t="s">
        <v>404</v>
      </c>
      <c r="D47" s="1109"/>
      <c r="E47" s="919">
        <f>+UNRESTRICTED!E47+RESTRICTED!E47</f>
        <v>0</v>
      </c>
      <c r="F47" s="1794">
        <f>+UNRESTRICTED!F47+RESTRICTED!F47</f>
        <v>1479276</v>
      </c>
      <c r="G47" s="1670">
        <f>+UNRESTRICTED!G47+RESTRICTED!G47</f>
        <v>1691719</v>
      </c>
      <c r="H47" s="1829">
        <f>+UNRESTRICTED!H47+RESTRICTED!H47</f>
        <v>1691719</v>
      </c>
      <c r="I47" s="1000">
        <f>+UNRESTRICTED!I47+RESTRICTED!I47</f>
        <v>1691719</v>
      </c>
      <c r="J47" s="317" t="e">
        <f>+UNRESTRICTED!J47+RESTRICTED!J47</f>
        <v>#REF!</v>
      </c>
      <c r="K47" s="233" t="e">
        <f>+UNRESTRICTED!K47+RESTRICTED!K47</f>
        <v>#REF!</v>
      </c>
      <c r="L47" s="317" t="e">
        <f>+UNRESTRICTED!L47+RESTRICTED!L47</f>
        <v>#REF!</v>
      </c>
      <c r="M47" s="318"/>
      <c r="N47" s="2134">
        <f>+F47-UNRESTRICTED!F47-RESTRICTED!F47</f>
        <v>0</v>
      </c>
      <c r="O47" s="2134">
        <f>+G47-UNRESTRICTED!G47-RESTRICTED!G47</f>
        <v>0</v>
      </c>
      <c r="P47" s="2134">
        <f>+H47-UNRESTRICTED!H47-RESTRICTED!H47</f>
        <v>0</v>
      </c>
      <c r="Q47" s="2134">
        <f>+I47-UNRESTRICTED!I47-RESTRICTED!I47</f>
        <v>0</v>
      </c>
      <c r="R47" s="1175"/>
    </row>
    <row r="48" spans="1:18" s="309" customFormat="1" ht="16.5" customHeight="1" x14ac:dyDescent="0.25">
      <c r="A48" s="1943"/>
      <c r="B48" s="1945"/>
      <c r="C48" s="1945" t="s">
        <v>405</v>
      </c>
      <c r="D48" s="1945"/>
      <c r="E48" s="932">
        <f>+UNRESTRICTED!E48+RESTRICTED!E48</f>
        <v>0</v>
      </c>
      <c r="F48" s="1801">
        <f>+UNRESTRICTED!F48+RESTRICTED!F48</f>
        <v>-132056</v>
      </c>
      <c r="G48" s="1775">
        <f>+UNRESTRICTED!G48+RESTRICTED!G48</f>
        <v>-147408</v>
      </c>
      <c r="H48" s="1836">
        <f>+UNRESTRICTED!H48+RESTRICTED!H48</f>
        <v>-192833</v>
      </c>
      <c r="I48" s="1006">
        <f>+UNRESTRICTED!I48+RESTRICTED!I48</f>
        <v>-195899</v>
      </c>
      <c r="J48" s="335" t="e">
        <f>+UNRESTRICTED!J48+RESTRICTED!J48</f>
        <v>#REF!</v>
      </c>
      <c r="K48" s="246" t="e">
        <f>+UNRESTRICTED!K48+RESTRICTED!K48</f>
        <v>#REF!</v>
      </c>
      <c r="L48" s="335" t="e">
        <f>+UNRESTRICTED!L48+RESTRICTED!L48</f>
        <v>#REF!</v>
      </c>
      <c r="M48" s="318"/>
      <c r="N48" s="2134">
        <f>+F48-UNRESTRICTED!F48-RESTRICTED!F48</f>
        <v>0</v>
      </c>
      <c r="O48" s="2134">
        <f>+G48-UNRESTRICTED!G48-RESTRICTED!G48</f>
        <v>0</v>
      </c>
      <c r="P48" s="2134">
        <f>+H48-UNRESTRICTED!H48-RESTRICTED!H48</f>
        <v>0</v>
      </c>
      <c r="Q48" s="2134">
        <f>+I48-UNRESTRICTED!I48-RESTRICTED!I48</f>
        <v>0</v>
      </c>
      <c r="R48" s="1175"/>
    </row>
    <row r="49" spans="1:18" s="309" customFormat="1" ht="16.5" customHeight="1" thickBot="1" x14ac:dyDescent="0.3">
      <c r="A49" s="1938"/>
      <c r="B49" s="1939" t="s">
        <v>374</v>
      </c>
      <c r="C49" s="1939"/>
      <c r="D49" s="1939"/>
      <c r="E49" s="983">
        <f t="shared" ref="E49:L49" si="4">SUM(E26:E48)</f>
        <v>0</v>
      </c>
      <c r="F49" s="1797">
        <f t="shared" si="4"/>
        <v>82015239.260000005</v>
      </c>
      <c r="G49" s="1672">
        <f t="shared" si="4"/>
        <v>86310798</v>
      </c>
      <c r="H49" s="1832">
        <f t="shared" si="4"/>
        <v>79898150.909999996</v>
      </c>
      <c r="I49" s="1007">
        <f t="shared" si="4"/>
        <v>82206505</v>
      </c>
      <c r="J49" s="336" t="e">
        <f t="shared" si="4"/>
        <v>#REF!</v>
      </c>
      <c r="K49" s="235" t="e">
        <f t="shared" si="4"/>
        <v>#REF!</v>
      </c>
      <c r="L49" s="336" t="e">
        <f t="shared" si="4"/>
        <v>#REF!</v>
      </c>
      <c r="M49" s="316"/>
      <c r="N49" s="2134">
        <f>+F49-UNRESTRICTED!F49-RESTRICTED!F49</f>
        <v>0</v>
      </c>
      <c r="O49" s="2134">
        <f>+G49-UNRESTRICTED!G49-RESTRICTED!G49</f>
        <v>0</v>
      </c>
      <c r="P49" s="2134">
        <f>+H49-UNRESTRICTED!H49-RESTRICTED!H49</f>
        <v>0</v>
      </c>
      <c r="Q49" s="2134">
        <f>+I49-UNRESTRICTED!I49-RESTRICTED!I49</f>
        <v>0</v>
      </c>
      <c r="R49" s="1175"/>
    </row>
    <row r="50" spans="1:18" s="309" customFormat="1" ht="18.75" thickTop="1" x14ac:dyDescent="0.25">
      <c r="A50" s="1940"/>
      <c r="B50" s="1949"/>
      <c r="C50" s="1949"/>
      <c r="D50" s="1949"/>
      <c r="E50" s="237"/>
      <c r="F50" s="1798"/>
      <c r="G50" s="1677"/>
      <c r="H50" s="1833"/>
      <c r="I50" s="1005"/>
      <c r="J50" s="325"/>
      <c r="K50" s="237"/>
      <c r="L50" s="325"/>
      <c r="M50" s="326"/>
      <c r="N50" s="2134">
        <f>+F50-UNRESTRICTED!F50-RESTRICTED!F50</f>
        <v>0</v>
      </c>
      <c r="O50" s="2134">
        <f>+G50-UNRESTRICTED!G50-RESTRICTED!G50</f>
        <v>0</v>
      </c>
      <c r="P50" s="2134">
        <f>+H50-UNRESTRICTED!H50-RESTRICTED!H50</f>
        <v>0</v>
      </c>
      <c r="Q50" s="2134">
        <f>+I50-UNRESTRICTED!I50-RESTRICTED!I50</f>
        <v>0</v>
      </c>
      <c r="R50" s="1175"/>
    </row>
    <row r="51" spans="1:18" s="309" customFormat="1" ht="18" x14ac:dyDescent="0.25">
      <c r="A51" s="1940"/>
      <c r="B51" s="1948" t="s">
        <v>740</v>
      </c>
      <c r="C51" s="1949"/>
      <c r="D51" s="1949"/>
      <c r="E51" s="237"/>
      <c r="F51" s="1798"/>
      <c r="G51" s="1677"/>
      <c r="H51" s="1833"/>
      <c r="I51" s="1005"/>
      <c r="J51" s="325"/>
      <c r="K51" s="237"/>
      <c r="L51" s="325"/>
      <c r="M51" s="326"/>
      <c r="N51" s="2134">
        <f>+F51-UNRESTRICTED!F51-RESTRICTED!F51</f>
        <v>0</v>
      </c>
      <c r="O51" s="2134">
        <f>+G51-UNRESTRICTED!G51-RESTRICTED!G51</f>
        <v>0</v>
      </c>
      <c r="P51" s="2134">
        <f>+H51-UNRESTRICTED!H51-RESTRICTED!H51</f>
        <v>0</v>
      </c>
      <c r="Q51" s="2134">
        <f>+I51-UNRESTRICTED!I51-RESTRICTED!I51</f>
        <v>0</v>
      </c>
      <c r="R51" s="1175"/>
    </row>
    <row r="52" spans="1:18" s="309" customFormat="1" ht="18" x14ac:dyDescent="0.25">
      <c r="A52" s="2056"/>
      <c r="B52" s="2057"/>
      <c r="C52" s="2057" t="s">
        <v>406</v>
      </c>
      <c r="D52" s="2057"/>
      <c r="E52" s="1114">
        <f>+UNRESTRICTED!E52+RESTRICTED!E52</f>
        <v>0</v>
      </c>
      <c r="F52" s="1811">
        <f>+UNRESTRICTED!F52+RESTRICTED!F52</f>
        <v>562000</v>
      </c>
      <c r="G52" s="1871">
        <f>+UNRESTRICTED!G52+RESTRICTED!G52</f>
        <v>562000</v>
      </c>
      <c r="H52" s="1846">
        <f>+UNRESTRICTED!H52+RESTRICTED!H52</f>
        <v>462000</v>
      </c>
      <c r="I52" s="1115">
        <f>+UNRESTRICTED!I52+RESTRICTED!I52</f>
        <v>462000</v>
      </c>
      <c r="J52" s="317">
        <f>+UNRESTRICTED!J52+RESTRICTED!J52</f>
        <v>462000</v>
      </c>
      <c r="K52" s="233">
        <f>+UNRESTRICTED!K52+RESTRICTED!K52</f>
        <v>462000</v>
      </c>
      <c r="L52" s="317">
        <f>+UNRESTRICTED!L52+RESTRICTED!L52</f>
        <v>462000</v>
      </c>
      <c r="M52" s="318"/>
      <c r="N52" s="2134">
        <f>+F52-UNRESTRICTED!F52-RESTRICTED!F52</f>
        <v>0</v>
      </c>
      <c r="O52" s="2134">
        <f>+G52-UNRESTRICTED!G52-RESTRICTED!G52</f>
        <v>0</v>
      </c>
      <c r="P52" s="2134">
        <f>+H52-UNRESTRICTED!H52-RESTRICTED!H52</f>
        <v>0</v>
      </c>
      <c r="Q52" s="2134">
        <f>+I52-UNRESTRICTED!I52-RESTRICTED!I52</f>
        <v>0</v>
      </c>
      <c r="R52" s="1175"/>
    </row>
    <row r="53" spans="1:18" s="309" customFormat="1" ht="18" x14ac:dyDescent="0.25">
      <c r="A53" s="1943"/>
      <c r="B53" s="1945"/>
      <c r="C53" s="1945" t="s">
        <v>377</v>
      </c>
      <c r="D53" s="1945"/>
      <c r="E53" s="932">
        <f>+UNRESTRICTED!E53+RESTRICTED!E53</f>
        <v>0</v>
      </c>
      <c r="F53" s="1801">
        <f>+UNRESTRICTED!F53+RESTRICTED!F53</f>
        <v>0</v>
      </c>
      <c r="G53" s="1775">
        <f>+UNRESTRICTED!G53+RESTRICTED!G53</f>
        <v>0</v>
      </c>
      <c r="H53" s="1836">
        <f>+UNRESTRICTED!H53+RESTRICTED!H53</f>
        <v>0</v>
      </c>
      <c r="I53" s="1006">
        <f>+UNRESTRICTED!I53+RESTRICTED!I53</f>
        <v>0</v>
      </c>
      <c r="J53" s="317">
        <f>+UNRESTRICTED!J53+RESTRICTED!J53</f>
        <v>0</v>
      </c>
      <c r="K53" s="233">
        <f>+UNRESTRICTED!K53+RESTRICTED!K53</f>
        <v>0</v>
      </c>
      <c r="L53" s="317">
        <f>+UNRESTRICTED!L53+RESTRICTED!L53</f>
        <v>0</v>
      </c>
      <c r="M53" s="318"/>
      <c r="N53" s="2134">
        <f>+F53-UNRESTRICTED!F53-RESTRICTED!F53</f>
        <v>0</v>
      </c>
      <c r="O53" s="2134">
        <f>+G53-UNRESTRICTED!G53-RESTRICTED!G53</f>
        <v>0</v>
      </c>
      <c r="P53" s="2134">
        <f>+H53-UNRESTRICTED!H53-RESTRICTED!H53</f>
        <v>0</v>
      </c>
      <c r="Q53" s="2134">
        <f>+I53-UNRESTRICTED!I53-RESTRICTED!I53</f>
        <v>0</v>
      </c>
      <c r="R53" s="1175"/>
    </row>
    <row r="54" spans="1:18" s="309" customFormat="1" ht="18.75" thickBot="1" x14ac:dyDescent="0.3">
      <c r="A54" s="1938"/>
      <c r="B54" s="1939" t="s">
        <v>742</v>
      </c>
      <c r="C54" s="1939"/>
      <c r="D54" s="1939"/>
      <c r="E54" s="983">
        <f>+E15-E52+E16-E53+E17</f>
        <v>0</v>
      </c>
      <c r="F54" s="1797">
        <f>SUM(F52:F53)</f>
        <v>562000</v>
      </c>
      <c r="G54" s="1672">
        <f t="shared" ref="G54:I54" si="5">SUM(G52:G53)</f>
        <v>562000</v>
      </c>
      <c r="H54" s="1832">
        <f t="shared" si="5"/>
        <v>462000</v>
      </c>
      <c r="I54" s="1007">
        <f t="shared" si="5"/>
        <v>462000</v>
      </c>
      <c r="J54" s="336" t="e">
        <f>+J15-J52+J16-J53+J17</f>
        <v>#REF!</v>
      </c>
      <c r="K54" s="235" t="e">
        <f>+K15-K52+K16-K53+K17</f>
        <v>#REF!</v>
      </c>
      <c r="L54" s="336" t="e">
        <f>+L15-L52+L16-L53+L17</f>
        <v>#REF!</v>
      </c>
      <c r="M54" s="316"/>
      <c r="N54" s="2134">
        <f>+F54-UNRESTRICTED!F54-RESTRICTED!F54</f>
        <v>0</v>
      </c>
      <c r="O54" s="2134">
        <f>+G54-UNRESTRICTED!G54-RESTRICTED!G54</f>
        <v>0</v>
      </c>
      <c r="P54" s="2134">
        <f>+H54-UNRESTRICTED!H54-RESTRICTED!H54</f>
        <v>0</v>
      </c>
      <c r="Q54" s="2134">
        <f>+I54-UNRESTRICTED!I54-RESTRICTED!I54</f>
        <v>0</v>
      </c>
      <c r="R54" s="1175"/>
    </row>
    <row r="55" spans="1:18" s="309" customFormat="1" ht="18.75" thickTop="1" x14ac:dyDescent="0.25">
      <c r="A55" s="1940"/>
      <c r="B55" s="1949"/>
      <c r="C55" s="1949"/>
      <c r="D55" s="2068"/>
      <c r="E55" s="1128"/>
      <c r="F55" s="1812"/>
      <c r="G55" s="1872"/>
      <c r="H55" s="1847"/>
      <c r="I55" s="1129"/>
      <c r="J55" s="336"/>
      <c r="K55" s="235"/>
      <c r="L55" s="336"/>
      <c r="M55" s="326"/>
      <c r="N55" s="2134">
        <f>+F55-UNRESTRICTED!F55-RESTRICTED!F55</f>
        <v>0</v>
      </c>
      <c r="O55" s="2134">
        <f>+G55-UNRESTRICTED!G55-RESTRICTED!G55</f>
        <v>0</v>
      </c>
      <c r="P55" s="2134">
        <f>+H55-UNRESTRICTED!H55-RESTRICTED!H55</f>
        <v>0</v>
      </c>
      <c r="Q55" s="2134">
        <f>+I55-UNRESTRICTED!I55-RESTRICTED!I55</f>
        <v>0</v>
      </c>
      <c r="R55" s="1175"/>
    </row>
    <row r="56" spans="1:18" s="309" customFormat="1" ht="25.5" customHeight="1" x14ac:dyDescent="0.25">
      <c r="A56" s="2069"/>
      <c r="B56" s="2064" t="s">
        <v>743</v>
      </c>
      <c r="C56" s="2065"/>
      <c r="D56" s="2065"/>
      <c r="E56" s="1121"/>
      <c r="F56" s="1813">
        <f>SUM(F49,F54)</f>
        <v>82577239.260000005</v>
      </c>
      <c r="G56" s="1873">
        <f t="shared" ref="G56:H56" si="6">SUM(G49,G54)</f>
        <v>86872798</v>
      </c>
      <c r="H56" s="1848">
        <f t="shared" si="6"/>
        <v>80360150.909999996</v>
      </c>
      <c r="I56" s="1122">
        <f>SUM(I49,I54)</f>
        <v>82668505</v>
      </c>
      <c r="J56" s="336"/>
      <c r="K56" s="235"/>
      <c r="L56" s="336"/>
      <c r="M56" s="326"/>
      <c r="N56" s="2134">
        <f>+F56-UNRESTRICTED!F56-RESTRICTED!F56</f>
        <v>0</v>
      </c>
      <c r="O56" s="2134">
        <f>+G56-UNRESTRICTED!G56-RESTRICTED!G56</f>
        <v>0</v>
      </c>
      <c r="P56" s="2134">
        <f>+H56-UNRESTRICTED!H56-RESTRICTED!H56</f>
        <v>0</v>
      </c>
      <c r="Q56" s="2134">
        <f>+I56-UNRESTRICTED!I56-RESTRICTED!I56</f>
        <v>0</v>
      </c>
      <c r="R56" s="1175"/>
    </row>
    <row r="57" spans="1:18" s="309" customFormat="1" ht="18" x14ac:dyDescent="0.25">
      <c r="A57" s="1940"/>
      <c r="B57" s="1948"/>
      <c r="C57" s="1949"/>
      <c r="D57" s="1954"/>
      <c r="E57" s="1057"/>
      <c r="F57" s="1057"/>
      <c r="G57" s="1679"/>
      <c r="H57" s="1057"/>
      <c r="I57" s="1127"/>
      <c r="J57" s="325"/>
      <c r="K57" s="237"/>
      <c r="L57" s="325"/>
      <c r="M57" s="326"/>
      <c r="N57" s="2134">
        <f>+F57-UNRESTRICTED!F57-RESTRICTED!F57</f>
        <v>0</v>
      </c>
      <c r="O57" s="2134">
        <f>+G57-UNRESTRICTED!G57-RESTRICTED!G57</f>
        <v>0</v>
      </c>
      <c r="P57" s="2134">
        <f>+H57-UNRESTRICTED!H57-RESTRICTED!H57</f>
        <v>0</v>
      </c>
      <c r="Q57" s="2134">
        <f>+I57-UNRESTRICTED!I57-RESTRICTED!I57</f>
        <v>0</v>
      </c>
      <c r="R57" s="1175"/>
    </row>
    <row r="58" spans="1:18" s="1098" customFormat="1" ht="35.25" customHeight="1" x14ac:dyDescent="0.2">
      <c r="A58" s="2063"/>
      <c r="B58" s="2064" t="s">
        <v>398</v>
      </c>
      <c r="C58" s="2065"/>
      <c r="D58" s="2065"/>
      <c r="E58" s="1094">
        <f>+D60</f>
        <v>0</v>
      </c>
      <c r="F58" s="1814">
        <f>+RESTRICTED!F58+UNRESTRICTED!F58</f>
        <v>21415859.420000002</v>
      </c>
      <c r="G58" s="1874">
        <f>+F60</f>
        <v>18555569.899999991</v>
      </c>
      <c r="H58" s="1849">
        <f>+G60</f>
        <v>8625860.8999999911</v>
      </c>
      <c r="I58" s="1095">
        <f>+H60</f>
        <v>6385187.786499992</v>
      </c>
      <c r="J58" s="1096">
        <f t="shared" ref="J58:L58" si="7">+I60</f>
        <v>4622576.5287177414</v>
      </c>
      <c r="K58" s="977" t="e">
        <f t="shared" si="7"/>
        <v>#REF!</v>
      </c>
      <c r="L58" s="1096" t="e">
        <f t="shared" si="7"/>
        <v>#REF!</v>
      </c>
      <c r="M58" s="1097"/>
      <c r="N58" s="2134">
        <f>+F58-UNRESTRICTED!F58-RESTRICTED!F58</f>
        <v>0</v>
      </c>
      <c r="O58" s="2134">
        <f>+G58-UNRESTRICTED!G58-RESTRICTED!G58</f>
        <v>0</v>
      </c>
      <c r="P58" s="2134">
        <f>+H58-UNRESTRICTED!H58-RESTRICTED!H58</f>
        <v>-1.0000002570450306E-2</v>
      </c>
      <c r="Q58" s="2134">
        <f>+I58-UNRESTRICTED!I58-RESTRICTED!I58</f>
        <v>-1.0000002570450306E-2</v>
      </c>
      <c r="R58" s="1177"/>
    </row>
    <row r="59" spans="1:18" s="1098" customFormat="1" ht="35.25" customHeight="1" x14ac:dyDescent="0.2">
      <c r="A59" s="2063"/>
      <c r="B59" s="2064" t="s">
        <v>380</v>
      </c>
      <c r="C59" s="2065"/>
      <c r="D59" s="2065"/>
      <c r="E59" s="1099">
        <f t="shared" ref="E59:L59" si="8">SUM(E58:E58)</f>
        <v>0</v>
      </c>
      <c r="F59" s="1815">
        <f>F23-F56</f>
        <v>-2860289.5200000107</v>
      </c>
      <c r="G59" s="1875">
        <f>G23-G56</f>
        <v>-9929709</v>
      </c>
      <c r="H59" s="1850">
        <f>H23-H56</f>
        <v>-2240673.113499999</v>
      </c>
      <c r="I59" s="1100">
        <f>I23-I56</f>
        <v>-1762611.2577822506</v>
      </c>
      <c r="J59" s="1101">
        <f t="shared" si="8"/>
        <v>4622576.5287177414</v>
      </c>
      <c r="K59" s="1102" t="e">
        <f t="shared" si="8"/>
        <v>#REF!</v>
      </c>
      <c r="L59" s="1101" t="e">
        <f t="shared" si="8"/>
        <v>#REF!</v>
      </c>
      <c r="M59" s="1097"/>
      <c r="N59" s="2134">
        <f>+F59-UNRESTRICTED!F59-RESTRICTED!F59</f>
        <v>-3.7252902984619141E-9</v>
      </c>
      <c r="O59" s="2134">
        <f>+G59-UNRESTRICTED!G59-RESTRICTED!G59</f>
        <v>0</v>
      </c>
      <c r="P59" s="2134">
        <f>+H59-UNRESTRICTED!H59-RESTRICTED!H59</f>
        <v>0</v>
      </c>
      <c r="Q59" s="2134">
        <f>+I59-UNRESTRICTED!I59-RESTRICTED!I59</f>
        <v>-1.4901161193847656E-8</v>
      </c>
      <c r="R59" s="1177"/>
    </row>
    <row r="60" spans="1:18" s="344" customFormat="1" ht="26.25" customHeight="1" x14ac:dyDescent="0.25">
      <c r="A60" s="2070"/>
      <c r="B60" s="2071" t="s">
        <v>136</v>
      </c>
      <c r="C60" s="2071"/>
      <c r="D60" s="2071"/>
      <c r="E60" s="351" t="e">
        <f>+E59+#REF!</f>
        <v>#REF!</v>
      </c>
      <c r="F60" s="1816">
        <f>SUM(F58:F59)</f>
        <v>18555569.899999991</v>
      </c>
      <c r="G60" s="1876">
        <f t="shared" ref="G60:I60" si="9">SUM(G58:G59)</f>
        <v>8625860.8999999911</v>
      </c>
      <c r="H60" s="1851">
        <f t="shared" si="9"/>
        <v>6385187.786499992</v>
      </c>
      <c r="I60" s="1073">
        <f t="shared" si="9"/>
        <v>4622576.5287177414</v>
      </c>
      <c r="J60" s="351" t="e">
        <f>+J58+#REF!</f>
        <v>#REF!</v>
      </c>
      <c r="K60" s="352" t="e">
        <f>+K59+#REF!</f>
        <v>#REF!</v>
      </c>
      <c r="L60" s="351" t="e">
        <f>+L58+#REF!</f>
        <v>#REF!</v>
      </c>
      <c r="M60" s="1076"/>
      <c r="N60" s="2134">
        <f>+F60-UNRESTRICTED!F60-RESTRICTED!F60</f>
        <v>0</v>
      </c>
      <c r="O60" s="2134">
        <f>+G60-UNRESTRICTED!G60-RESTRICTED!G60</f>
        <v>-1.0000002570450306E-2</v>
      </c>
      <c r="P60" s="2134">
        <f>+H60-UNRESTRICTED!H60-RESTRICTED!H60</f>
        <v>-1.0000002570450306E-2</v>
      </c>
      <c r="Q60" s="2134">
        <f>+I60-UNRESTRICTED!I60-RESTRICTED!I60</f>
        <v>-1.00000174716115E-2</v>
      </c>
      <c r="R60" s="1177"/>
    </row>
    <row r="61" spans="1:18" s="309" customFormat="1" ht="18.75" thickBot="1" x14ac:dyDescent="0.3">
      <c r="A61" s="2072"/>
      <c r="B61" s="2073"/>
      <c r="C61" s="2073"/>
      <c r="D61" s="2073"/>
      <c r="E61" s="354"/>
      <c r="F61" s="1817">
        <f>F60/F56</f>
        <v>0.22470562186726209</v>
      </c>
      <c r="G61" s="1877">
        <f>G60/G56</f>
        <v>9.929300193600292E-2</v>
      </c>
      <c r="H61" s="1852">
        <f t="shared" ref="H61" si="10">H60/H56</f>
        <v>7.9457140313874408E-2</v>
      </c>
      <c r="I61" s="1074">
        <f>I60/I56</f>
        <v>5.5917020982993962E-2</v>
      </c>
      <c r="J61" s="354"/>
      <c r="K61" s="355"/>
      <c r="L61" s="354"/>
      <c r="M61" s="353"/>
      <c r="N61" s="2134">
        <f>+F61-UNRESTRICTED!F61-RESTRICTED!F61</f>
        <v>6.6360397236656155E-2</v>
      </c>
      <c r="O61" s="2134">
        <f>+G61-UNRESTRICTED!G61-RESTRICTED!G61</f>
        <v>1.0034077525625434E-2</v>
      </c>
      <c r="P61" s="2134">
        <f>+H61-UNRESTRICTED!H61-RESTRICTED!H61</f>
        <v>6.0593898155485992E-3</v>
      </c>
      <c r="Q61" s="2134">
        <f>+I61-UNRESTRICTED!I61-RESTRICTED!I61</f>
        <v>3.46727547570852E-3</v>
      </c>
      <c r="R61" s="1177"/>
    </row>
    <row r="62" spans="1:18" s="309" customFormat="1" ht="18.75" thickTop="1" x14ac:dyDescent="0.25">
      <c r="A62" s="1940"/>
      <c r="B62" s="1948"/>
      <c r="C62" s="1949"/>
      <c r="D62" s="2001"/>
      <c r="E62" s="1124"/>
      <c r="F62" s="1124"/>
      <c r="G62" s="1878"/>
      <c r="H62" s="1124"/>
      <c r="I62" s="1125"/>
      <c r="J62" s="338"/>
      <c r="K62" s="256"/>
      <c r="L62" s="338"/>
      <c r="M62" s="337"/>
      <c r="N62" s="2134">
        <f>+F62-UNRESTRICTED!F62-RESTRICTED!F62</f>
        <v>0</v>
      </c>
      <c r="O62" s="2134">
        <f>+G62-UNRESTRICTED!G62-RESTRICTED!G62</f>
        <v>0</v>
      </c>
      <c r="P62" s="2134">
        <f>+H62-UNRESTRICTED!H62-RESTRICTED!H62</f>
        <v>0</v>
      </c>
      <c r="Q62" s="2134">
        <f>+I62-UNRESTRICTED!I62-RESTRICTED!I62</f>
        <v>0</v>
      </c>
      <c r="R62" s="1177"/>
    </row>
    <row r="63" spans="1:18" s="309" customFormat="1" ht="42.75" customHeight="1" x14ac:dyDescent="0.25">
      <c r="A63" s="2074" t="str">
        <f>+UNRESTRICTED!A63</f>
        <v>GENERAL FUND - COMPONENTS OF ENDING FUND BALANCE</v>
      </c>
      <c r="B63" s="2075"/>
      <c r="C63" s="2076"/>
      <c r="D63" s="2076"/>
      <c r="E63" s="1075"/>
      <c r="F63" s="1075"/>
      <c r="G63" s="1879"/>
      <c r="H63" s="1075"/>
      <c r="I63" s="1126"/>
      <c r="J63" s="338"/>
      <c r="K63" s="256"/>
      <c r="L63" s="338"/>
      <c r="M63" s="337"/>
      <c r="N63" s="2134">
        <f>+F63-UNRESTRICTED!F63-RESTRICTED!F63</f>
        <v>0</v>
      </c>
      <c r="O63" s="2134">
        <f>+G63-UNRESTRICTED!G63-RESTRICTED!G63</f>
        <v>0</v>
      </c>
      <c r="P63" s="2134">
        <f>+H63-UNRESTRICTED!H63-RESTRICTED!H63</f>
        <v>0</v>
      </c>
      <c r="Q63" s="2134">
        <f>+I63-UNRESTRICTED!I63-RESTRICTED!I63</f>
        <v>0</v>
      </c>
      <c r="R63" s="1177"/>
    </row>
    <row r="64" spans="1:18" s="309" customFormat="1" ht="21.75" customHeight="1" x14ac:dyDescent="0.25">
      <c r="A64" s="2077"/>
      <c r="B64" s="2078" t="str">
        <f>+UNRESTRICTED!B64</f>
        <v>Nonspendable: Revolving Cash</v>
      </c>
      <c r="C64" s="2079"/>
      <c r="D64" s="2079"/>
      <c r="E64" s="1079">
        <f>+UNRESTRICTED!E64</f>
        <v>0</v>
      </c>
      <c r="F64" s="1818">
        <f>+UNRESTRICTED!F64</f>
        <v>10000</v>
      </c>
      <c r="G64" s="1880">
        <f>+UNRESTRICTED!G64</f>
        <v>10000</v>
      </c>
      <c r="H64" s="1853">
        <f>+UNRESTRICTED!H64</f>
        <v>10000</v>
      </c>
      <c r="I64" s="1080">
        <f>+UNRESTRICTED!I64</f>
        <v>10000</v>
      </c>
      <c r="J64" s="339">
        <f>+UNRESTRICTED!J64</f>
        <v>10000</v>
      </c>
      <c r="K64" s="258">
        <f>+UNRESTRICTED!K64</f>
        <v>10000</v>
      </c>
      <c r="L64" s="339">
        <f>+UNRESTRICTED!L64</f>
        <v>10000</v>
      </c>
      <c r="M64" s="318"/>
      <c r="N64" s="2134">
        <f>+F64-UNRESTRICTED!F64-RESTRICTED!F64</f>
        <v>0</v>
      </c>
      <c r="O64" s="2134">
        <f>+G64-UNRESTRICTED!G64-RESTRICTED!G64</f>
        <v>0</v>
      </c>
      <c r="P64" s="2134">
        <f>+H64-UNRESTRICTED!H64-RESTRICTED!H64</f>
        <v>0</v>
      </c>
      <c r="Q64" s="2134">
        <f>+I64-UNRESTRICTED!I64-RESTRICTED!I64</f>
        <v>0</v>
      </c>
      <c r="R64" s="1177"/>
    </row>
    <row r="65" spans="1:18" s="309" customFormat="1" ht="21.75" customHeight="1" x14ac:dyDescent="0.25">
      <c r="A65" s="1123"/>
      <c r="B65" s="1081" t="str">
        <f>+UNRESTRICTED!B65</f>
        <v>Restricted</v>
      </c>
      <c r="C65" s="1082"/>
      <c r="D65" s="1082"/>
      <c r="E65" s="979">
        <f>+RESTRICTED!E79</f>
        <v>0</v>
      </c>
      <c r="F65" s="1819">
        <f>+RESTRICTED!F79</f>
        <v>5479858.4000000013</v>
      </c>
      <c r="G65" s="1696">
        <f>+RESTRICTED!G79</f>
        <v>871688.4000000013</v>
      </c>
      <c r="H65" s="1854">
        <f>+RESTRICTED!H79</f>
        <v>486933.49000000488</v>
      </c>
      <c r="I65" s="1045">
        <f>+RESTRICTED!I79</f>
        <v>286634.49000000488</v>
      </c>
      <c r="J65" s="340" t="e">
        <f>+RESTRICTED!J79</f>
        <v>#REF!</v>
      </c>
      <c r="K65" s="260" t="e">
        <f>+RESTRICTED!K79</f>
        <v>#REF!</v>
      </c>
      <c r="L65" s="340" t="e">
        <f>+RESTRICTED!L79</f>
        <v>#REF!</v>
      </c>
      <c r="M65" s="318"/>
      <c r="N65" s="2134">
        <f>+F65-UNRESTRICTED!F65-RESTRICTED!F65</f>
        <v>0</v>
      </c>
      <c r="O65" s="2134">
        <f>+G65-UNRESTRICTED!G65-RESTRICTED!G65</f>
        <v>0</v>
      </c>
      <c r="P65" s="2134">
        <f>+H65-UNRESTRICTED!H65-RESTRICTED!H65</f>
        <v>0</v>
      </c>
      <c r="Q65" s="2134">
        <f>+I65-UNRESTRICTED!I65-RESTRICTED!I65</f>
        <v>0</v>
      </c>
      <c r="R65" s="1177"/>
    </row>
    <row r="66" spans="1:18" s="309" customFormat="1" ht="21.75" customHeight="1" x14ac:dyDescent="0.25">
      <c r="A66" s="1123"/>
      <c r="B66" s="1081" t="str">
        <f>+UNRESTRICTED!B66</f>
        <v>Committed</v>
      </c>
      <c r="C66" s="1082"/>
      <c r="D66" s="1082"/>
      <c r="E66" s="979">
        <f>+UNRESTRICTED!E66</f>
        <v>0</v>
      </c>
      <c r="F66" s="1819">
        <f>+UNRESTRICTED!F66</f>
        <v>0</v>
      </c>
      <c r="G66" s="1696">
        <f>+UNRESTRICTED!G66</f>
        <v>0</v>
      </c>
      <c r="H66" s="1854">
        <f>+UNRESTRICTED!H66</f>
        <v>0</v>
      </c>
      <c r="I66" s="1045">
        <f>+UNRESTRICTED!I66</f>
        <v>0</v>
      </c>
      <c r="J66" s="340">
        <f>+UNRESTRICTED!J66</f>
        <v>0</v>
      </c>
      <c r="K66" s="260">
        <f>+UNRESTRICTED!K66</f>
        <v>0</v>
      </c>
      <c r="L66" s="340">
        <f>+UNRESTRICTED!L66</f>
        <v>0</v>
      </c>
      <c r="M66" s="318"/>
      <c r="N66" s="2134">
        <f>+F66-UNRESTRICTED!F66-RESTRICTED!F66</f>
        <v>0</v>
      </c>
      <c r="O66" s="2134">
        <f>+G66-UNRESTRICTED!G66-RESTRICTED!G66</f>
        <v>0</v>
      </c>
      <c r="P66" s="2134">
        <f>+H66-UNRESTRICTED!H66-RESTRICTED!H66</f>
        <v>0</v>
      </c>
      <c r="Q66" s="2134">
        <f>+I66-UNRESTRICTED!I66-RESTRICTED!I66</f>
        <v>0</v>
      </c>
      <c r="R66" s="1177"/>
    </row>
    <row r="67" spans="1:18" s="309" customFormat="1" ht="24" customHeight="1" x14ac:dyDescent="0.25">
      <c r="A67" s="1123"/>
      <c r="B67" s="1081" t="str">
        <f>+UNRESTRICTED!B67</f>
        <v>Assigned</v>
      </c>
      <c r="C67" s="1082"/>
      <c r="D67" s="1082"/>
      <c r="E67" s="979">
        <f>+SUM(E68:E73)</f>
        <v>1427000</v>
      </c>
      <c r="F67" s="1819">
        <f>+SUM(F68:F73)</f>
        <v>625000</v>
      </c>
      <c r="G67" s="1696">
        <f>+SUM(G68:G73)</f>
        <v>625000</v>
      </c>
      <c r="H67" s="1854">
        <f>+SUM(H68:H73)</f>
        <v>625000</v>
      </c>
      <c r="I67" s="1045">
        <f t="shared" ref="I67:K67" si="11">+SUM(I68:I73)</f>
        <v>625000</v>
      </c>
      <c r="J67" s="340">
        <f t="shared" si="11"/>
        <v>625000</v>
      </c>
      <c r="K67" s="261">
        <f t="shared" si="11"/>
        <v>625000</v>
      </c>
      <c r="L67" s="340">
        <f>+SUM(L68:L73)</f>
        <v>625000</v>
      </c>
      <c r="M67" s="318"/>
      <c r="N67" s="2134">
        <f>+F67-UNRESTRICTED!F67-RESTRICTED!F67</f>
        <v>0</v>
      </c>
      <c r="O67" s="2134">
        <f>+G67-UNRESTRICTED!G67-RESTRICTED!G67</f>
        <v>0</v>
      </c>
      <c r="P67" s="2134">
        <f>+H67-UNRESTRICTED!H67-RESTRICTED!H67</f>
        <v>0</v>
      </c>
      <c r="Q67" s="2134">
        <f>+I67-UNRESTRICTED!I67-RESTRICTED!I67</f>
        <v>0</v>
      </c>
      <c r="R67" s="1177"/>
    </row>
    <row r="68" spans="1:18" s="309" customFormat="1" ht="18" hidden="1" x14ac:dyDescent="0.25">
      <c r="A68" s="1123"/>
      <c r="B68" s="1081"/>
      <c r="C68" s="1082" t="str">
        <f>IF(UNRESTRICTED!C68=0," ",UNRESTRICTED!C68)</f>
        <v>Insurance Deductibles</v>
      </c>
      <c r="D68" s="1082"/>
      <c r="E68" s="980">
        <f>IF(UNRESTRICTED!E68=0," ",UNRESTRICTED!E68)</f>
        <v>200000</v>
      </c>
      <c r="F68" s="1820">
        <f>IF(UNRESTRICTED!F68=0," ",UNRESTRICTED!F68)</f>
        <v>200000</v>
      </c>
      <c r="G68" s="1697">
        <f>IF(UNRESTRICTED!G68=0," ",UNRESTRICTED!G68)</f>
        <v>200000</v>
      </c>
      <c r="H68" s="1855">
        <f>IF(UNRESTRICTED!H68=0," ",UNRESTRICTED!H68)</f>
        <v>200000</v>
      </c>
      <c r="I68" s="1046">
        <f>IF(UNRESTRICTED!I68=0," ",UNRESTRICTED!I68)</f>
        <v>200000</v>
      </c>
      <c r="J68" s="341">
        <f>+UNRESTRICTED!J68</f>
        <v>200000</v>
      </c>
      <c r="K68" s="263">
        <f>+UNRESTRICTED!K68</f>
        <v>200000</v>
      </c>
      <c r="L68" s="341">
        <f>+UNRESTRICTED!L68</f>
        <v>200000</v>
      </c>
      <c r="M68" s="342"/>
      <c r="N68" s="2134">
        <f>+F68-UNRESTRICTED!F68-RESTRICTED!F68</f>
        <v>0</v>
      </c>
      <c r="O68" s="2134">
        <f>+G68-UNRESTRICTED!G68-RESTRICTED!G68</f>
        <v>0</v>
      </c>
      <c r="P68" s="2134">
        <f>+H68-UNRESTRICTED!H68-RESTRICTED!H68</f>
        <v>0</v>
      </c>
      <c r="Q68" s="2134">
        <f>+I68-UNRESTRICTED!I68-RESTRICTED!I68</f>
        <v>0</v>
      </c>
      <c r="R68" s="1177"/>
    </row>
    <row r="69" spans="1:18" s="309" customFormat="1" ht="18" hidden="1" x14ac:dyDescent="0.25">
      <c r="A69" s="1123"/>
      <c r="B69" s="1081"/>
      <c r="C69" s="1082" t="str">
        <f>IF(UNRESTRICTED!C69=0," ",UNRESTRICTED!C69)</f>
        <v>Professional Learning</v>
      </c>
      <c r="D69" s="1082"/>
      <c r="E69" s="980">
        <f>IF(UNRESTRICTED!E69=0," ",UNRESTRICTED!E69)</f>
        <v>425000</v>
      </c>
      <c r="F69" s="1820">
        <f>IF(UNRESTRICTED!F69=0," ",UNRESTRICTED!F69)</f>
        <v>425000</v>
      </c>
      <c r="G69" s="1697">
        <f>IF(UNRESTRICTED!G69=0," ",UNRESTRICTED!G69)</f>
        <v>425000</v>
      </c>
      <c r="H69" s="1855">
        <f>IF(UNRESTRICTED!H69=0," ",UNRESTRICTED!H69)</f>
        <v>425000</v>
      </c>
      <c r="I69" s="1046">
        <f>IF(UNRESTRICTED!I69=0," ",UNRESTRICTED!I69)</f>
        <v>425000</v>
      </c>
      <c r="J69" s="341">
        <f>+UNRESTRICTED!J69</f>
        <v>425000</v>
      </c>
      <c r="K69" s="263">
        <f>+UNRESTRICTED!K69</f>
        <v>425000</v>
      </c>
      <c r="L69" s="341">
        <f>+UNRESTRICTED!L69</f>
        <v>425000</v>
      </c>
      <c r="M69" s="318"/>
      <c r="N69" s="2134">
        <f>+F69-UNRESTRICTED!F69-RESTRICTED!F69</f>
        <v>0</v>
      </c>
      <c r="O69" s="2134">
        <f>+G69-UNRESTRICTED!G69-RESTRICTED!G69</f>
        <v>0</v>
      </c>
      <c r="P69" s="2134">
        <f>+H69-UNRESTRICTED!H69-RESTRICTED!H69</f>
        <v>0</v>
      </c>
      <c r="Q69" s="2134">
        <f>+I69-UNRESTRICTED!I69-RESTRICTED!I69</f>
        <v>0</v>
      </c>
      <c r="R69" s="1177"/>
    </row>
    <row r="70" spans="1:18" s="344" customFormat="1" ht="18" hidden="1" x14ac:dyDescent="0.25">
      <c r="A70" s="1123"/>
      <c r="B70" s="1081"/>
      <c r="C70" s="1082" t="str">
        <f>IF(UNRESTRICTED!C70=0," ",UNRESTRICTED!C70)</f>
        <v xml:space="preserve"> </v>
      </c>
      <c r="D70" s="1082"/>
      <c r="E70" s="980">
        <f>IF(UNRESTRICTED!E70=0," ",UNRESTRICTED!E70)</f>
        <v>225000</v>
      </c>
      <c r="F70" s="1820" t="str">
        <f>IF(UNRESTRICTED!F70=0," ",UNRESTRICTED!F70)</f>
        <v xml:space="preserve"> </v>
      </c>
      <c r="G70" s="1697" t="str">
        <f>IF(UNRESTRICTED!G70=0," ",UNRESTRICTED!G70)</f>
        <v xml:space="preserve"> </v>
      </c>
      <c r="H70" s="1855" t="str">
        <f>IF(UNRESTRICTED!H70=0," ",UNRESTRICTED!H70)</f>
        <v xml:space="preserve"> </v>
      </c>
      <c r="I70" s="1046" t="str">
        <f>IF(UNRESTRICTED!I70=0," ",UNRESTRICTED!I70)</f>
        <v xml:space="preserve"> </v>
      </c>
      <c r="J70" s="341">
        <f>+UNRESTRICTED!J70</f>
        <v>0</v>
      </c>
      <c r="K70" s="263">
        <f>+UNRESTRICTED!K70</f>
        <v>0</v>
      </c>
      <c r="L70" s="341">
        <f>+UNRESTRICTED!L70</f>
        <v>0</v>
      </c>
      <c r="M70" s="343"/>
      <c r="N70" s="2134" t="e">
        <f>+F70-UNRESTRICTED!F70-RESTRICTED!F70</f>
        <v>#VALUE!</v>
      </c>
      <c r="O70" s="2134" t="e">
        <f>+G70-UNRESTRICTED!G70-RESTRICTED!G70</f>
        <v>#VALUE!</v>
      </c>
      <c r="P70" s="2134" t="e">
        <f>+H70-UNRESTRICTED!H70-RESTRICTED!H70</f>
        <v>#VALUE!</v>
      </c>
      <c r="Q70" s="2134" t="e">
        <f>+I70-UNRESTRICTED!I70-RESTRICTED!I70</f>
        <v>#VALUE!</v>
      </c>
      <c r="R70" s="1177"/>
    </row>
    <row r="71" spans="1:18" s="309" customFormat="1" ht="18" hidden="1" x14ac:dyDescent="0.25">
      <c r="A71" s="1123"/>
      <c r="B71" s="1081"/>
      <c r="C71" s="1082" t="str">
        <f>IF(UNRESTRICTED!C71=0," ",UNRESTRICTED!C71)</f>
        <v xml:space="preserve"> </v>
      </c>
      <c r="D71" s="1082"/>
      <c r="E71" s="980">
        <f>IF(UNRESTRICTED!E71=0," ",UNRESTRICTED!E71)</f>
        <v>577000</v>
      </c>
      <c r="F71" s="1820" t="str">
        <f>IF(UNRESTRICTED!F71=0," ",UNRESTRICTED!F71)</f>
        <v xml:space="preserve"> </v>
      </c>
      <c r="G71" s="1697" t="str">
        <f>IF(UNRESTRICTED!G71=0," ",UNRESTRICTED!G71)</f>
        <v xml:space="preserve"> </v>
      </c>
      <c r="H71" s="1855" t="str">
        <f>IF(UNRESTRICTED!H71=0," ",UNRESTRICTED!H71)</f>
        <v xml:space="preserve"> </v>
      </c>
      <c r="I71" s="1046" t="str">
        <f>IF(UNRESTRICTED!I71=0," ",UNRESTRICTED!I71)</f>
        <v xml:space="preserve"> </v>
      </c>
      <c r="J71" s="341">
        <f>+UNRESTRICTED!J71</f>
        <v>0</v>
      </c>
      <c r="K71" s="263">
        <f>+UNRESTRICTED!K71</f>
        <v>0</v>
      </c>
      <c r="L71" s="341">
        <f>+UNRESTRICTED!L71</f>
        <v>0</v>
      </c>
      <c r="M71" s="318"/>
      <c r="N71" s="2134" t="e">
        <f>+F71-UNRESTRICTED!F71-RESTRICTED!F71</f>
        <v>#VALUE!</v>
      </c>
      <c r="O71" s="2134" t="e">
        <f>+G71-UNRESTRICTED!G71-RESTRICTED!G71</f>
        <v>#VALUE!</v>
      </c>
      <c r="P71" s="2134" t="e">
        <f>+H71-UNRESTRICTED!H71-RESTRICTED!H71</f>
        <v>#VALUE!</v>
      </c>
      <c r="Q71" s="2134" t="e">
        <f>+I71-UNRESTRICTED!I71-RESTRICTED!I71</f>
        <v>#VALUE!</v>
      </c>
      <c r="R71" s="1177"/>
    </row>
    <row r="72" spans="1:18" s="309" customFormat="1" ht="18" hidden="1" x14ac:dyDescent="0.25">
      <c r="A72" s="1123"/>
      <c r="B72" s="1081"/>
      <c r="C72" s="1082"/>
      <c r="D72" s="1082"/>
      <c r="E72" s="980"/>
      <c r="F72" s="1820"/>
      <c r="G72" s="1697"/>
      <c r="H72" s="1855"/>
      <c r="I72" s="1046"/>
      <c r="J72" s="341"/>
      <c r="K72" s="263"/>
      <c r="L72" s="341"/>
      <c r="M72" s="318"/>
      <c r="N72" s="2134">
        <f>+F72-UNRESTRICTED!F72-RESTRICTED!F72</f>
        <v>0</v>
      </c>
      <c r="O72" s="2134">
        <f>+G72-UNRESTRICTED!G72-RESTRICTED!G72</f>
        <v>0</v>
      </c>
      <c r="P72" s="2134">
        <f>+H72-UNRESTRICTED!H72-RESTRICTED!H72</f>
        <v>0</v>
      </c>
      <c r="Q72" s="2134">
        <f>+I72-UNRESTRICTED!I72-RESTRICTED!I72</f>
        <v>0</v>
      </c>
      <c r="R72" s="1177"/>
    </row>
    <row r="73" spans="1:18" s="330" customFormat="1" ht="18" hidden="1" x14ac:dyDescent="0.25">
      <c r="A73" s="1123"/>
      <c r="B73" s="1081"/>
      <c r="C73" s="1082"/>
      <c r="D73" s="1082"/>
      <c r="E73" s="980"/>
      <c r="F73" s="1820"/>
      <c r="G73" s="1697"/>
      <c r="H73" s="1855"/>
      <c r="I73" s="1046"/>
      <c r="J73" s="341"/>
      <c r="K73" s="263"/>
      <c r="L73" s="341"/>
      <c r="M73" s="329"/>
      <c r="N73" s="2134">
        <f>+F73-UNRESTRICTED!F73-RESTRICTED!F73</f>
        <v>0</v>
      </c>
      <c r="O73" s="2134">
        <f>+G73-UNRESTRICTED!G73-RESTRICTED!G73</f>
        <v>0</v>
      </c>
      <c r="P73" s="2134">
        <f>+H73-UNRESTRICTED!H73-RESTRICTED!H73</f>
        <v>0</v>
      </c>
      <c r="Q73" s="2134">
        <f>+I73-UNRESTRICTED!I73-RESTRICTED!I73</f>
        <v>0</v>
      </c>
      <c r="R73" s="1177"/>
    </row>
    <row r="74" spans="1:18" s="309" customFormat="1" ht="30" customHeight="1" x14ac:dyDescent="0.25">
      <c r="A74" s="1123"/>
      <c r="B74" s="1081" t="str">
        <f>+UNRESTRICTED!B74</f>
        <v>Unassigned/Unappropriated</v>
      </c>
      <c r="C74" s="1082"/>
      <c r="D74" s="1082"/>
      <c r="E74" s="981"/>
      <c r="F74" s="1821"/>
      <c r="G74" s="1698"/>
      <c r="H74" s="1856"/>
      <c r="I74" s="1047"/>
      <c r="J74" s="345"/>
      <c r="K74" s="267"/>
      <c r="L74" s="345"/>
      <c r="M74" s="318"/>
      <c r="N74" s="2134">
        <f>+F74-UNRESTRICTED!F74-RESTRICTED!F74</f>
        <v>0</v>
      </c>
      <c r="O74" s="2134">
        <f>+G74-UNRESTRICTED!G74-RESTRICTED!G74</f>
        <v>0</v>
      </c>
      <c r="P74" s="2134">
        <f>+H74-UNRESTRICTED!H74-RESTRICTED!H74</f>
        <v>0</v>
      </c>
      <c r="Q74" s="2134">
        <f>+I74-UNRESTRICTED!I74-RESTRICTED!I74</f>
        <v>0</v>
      </c>
      <c r="R74" s="1177"/>
    </row>
    <row r="75" spans="1:18" s="309" customFormat="1" ht="18" x14ac:dyDescent="0.25">
      <c r="A75" s="2080"/>
      <c r="B75" s="2081"/>
      <c r="C75" s="2032" t="str">
        <f>+UNRESTRICTED!C75</f>
        <v>Reserve for Economic Uncertainties (REU)</v>
      </c>
      <c r="D75" s="2081"/>
      <c r="E75" s="1083">
        <f>ROUND((+COMBINED!E49+COMBINED!E52+COMBINED!E53)*0.03,0)</f>
        <v>0</v>
      </c>
      <c r="F75" s="1822">
        <f>ROUND(F56*0.03,0)</f>
        <v>2477317</v>
      </c>
      <c r="G75" s="1699">
        <f t="shared" ref="G75:I75" si="12">ROUND(G56*0.03,0)</f>
        <v>2606184</v>
      </c>
      <c r="H75" s="1857">
        <f t="shared" si="12"/>
        <v>2410805</v>
      </c>
      <c r="I75" s="1084">
        <f t="shared" si="12"/>
        <v>2480055</v>
      </c>
      <c r="J75" s="346" t="e">
        <f>ROUND((+COMBINED!J49+COMBINED!J52+COMBINED!J53)*0.03,0)</f>
        <v>#REF!</v>
      </c>
      <c r="K75" s="269" t="e">
        <f>ROUND((+COMBINED!K49+COMBINED!K52+COMBINED!K53)*0.03,0)</f>
        <v>#REF!</v>
      </c>
      <c r="L75" s="346" t="e">
        <f>ROUND((+COMBINED!L49+COMBINED!L52+COMBINED!L53)*0.03,0)</f>
        <v>#REF!</v>
      </c>
      <c r="M75" s="318"/>
      <c r="N75" s="2134">
        <f>+F75-UNRESTRICTED!F75-RESTRICTED!F75</f>
        <v>0</v>
      </c>
      <c r="O75" s="2134">
        <f>+G75-UNRESTRICTED!G75-RESTRICTED!G75</f>
        <v>0</v>
      </c>
      <c r="P75" s="2134">
        <f>+H75-UNRESTRICTED!H75-RESTRICTED!H75</f>
        <v>0</v>
      </c>
      <c r="Q75" s="2134">
        <f>+I75-UNRESTRICTED!I75-RESTRICTED!I75</f>
        <v>0</v>
      </c>
      <c r="R75" s="1177"/>
    </row>
    <row r="76" spans="1:18" s="309" customFormat="1" ht="18" x14ac:dyDescent="0.25">
      <c r="A76" s="2082"/>
      <c r="B76" s="2083"/>
      <c r="C76" s="2035"/>
      <c r="D76" s="2084"/>
      <c r="E76" s="1077">
        <f>+E75/(COMBINED!$G$49+COMBINED!$G$52+COMBINED!$G$53)</f>
        <v>0</v>
      </c>
      <c r="F76" s="1823">
        <f>+F75/F56</f>
        <v>2.9999997846864322E-2</v>
      </c>
      <c r="G76" s="1700">
        <f t="shared" ref="G76:I76" si="13">+G75/G56</f>
        <v>3.0000000690664989E-2</v>
      </c>
      <c r="H76" s="1858">
        <f t="shared" si="13"/>
        <v>3.0000005882268695E-2</v>
      </c>
      <c r="I76" s="1078">
        <f t="shared" si="13"/>
        <v>2.9999998185524221E-2</v>
      </c>
      <c r="J76" s="347" t="e">
        <f>+J75/(COMBINED!$J$49+COMBINED!$J$52+COMBINED!$J$53)</f>
        <v>#REF!</v>
      </c>
      <c r="K76" s="272" t="e">
        <f>+K75/(COMBINED!$K$49+COMBINED!$K$52+COMBINED!$K$53)</f>
        <v>#REF!</v>
      </c>
      <c r="L76" s="347" t="e">
        <f>+L75/(COMBINED!$L$49+COMBINED!$L$52+COMBINED!$L$53)</f>
        <v>#REF!</v>
      </c>
      <c r="M76" s="318"/>
      <c r="N76" s="2134">
        <f>+F76-UNRESTRICTED!F76-RESTRICTED!F76</f>
        <v>0</v>
      </c>
      <c r="O76" s="2134">
        <f>+G76-UNRESTRICTED!G76-RESTRICTED!G76</f>
        <v>0</v>
      </c>
      <c r="P76" s="2134">
        <f>+H76-UNRESTRICTED!H76-RESTRICTED!H76</f>
        <v>0</v>
      </c>
      <c r="Q76" s="2134">
        <f>+I76-UNRESTRICTED!I76-RESTRICTED!I76</f>
        <v>0</v>
      </c>
      <c r="R76" s="1177"/>
    </row>
    <row r="77" spans="1:18" s="309" customFormat="1" ht="24" customHeight="1" x14ac:dyDescent="0.25">
      <c r="A77" s="1940"/>
      <c r="B77" s="2085"/>
      <c r="C77" s="2038" t="str">
        <f>+UNRESTRICTED!C77</f>
        <v>Unassigned/Unappropriated Amount</v>
      </c>
      <c r="D77" s="2038"/>
      <c r="E77" s="274" t="e">
        <f>+E60-SUM(E64:E67,E75)</f>
        <v>#REF!</v>
      </c>
      <c r="F77" s="1824">
        <f>+F60-SUM(F64:F67,F75)</f>
        <v>9963394.4999999888</v>
      </c>
      <c r="G77" s="1701">
        <f>+G60-SUM(G64:G67,G75)</f>
        <v>4512988.4999999898</v>
      </c>
      <c r="H77" s="1859">
        <f>+H60-SUM(H64:H67,H75)</f>
        <v>2852449.2964999871</v>
      </c>
      <c r="I77" s="1048">
        <f t="shared" ref="I77:L77" si="14">+I60-SUM(I64:I67,I75)</f>
        <v>1220887.0387177365</v>
      </c>
      <c r="J77" s="348" t="e">
        <f t="shared" si="14"/>
        <v>#REF!</v>
      </c>
      <c r="K77" s="274" t="e">
        <f t="shared" si="14"/>
        <v>#REF!</v>
      </c>
      <c r="L77" s="348" t="e">
        <f t="shared" si="14"/>
        <v>#REF!</v>
      </c>
      <c r="M77" s="318"/>
      <c r="N77" s="2134">
        <f>+F77-UNRESTRICTED!F77-RESTRICTED!F77</f>
        <v>-3.7252902984619141E-9</v>
      </c>
      <c r="O77" s="2134">
        <f>+G77-UNRESTRICTED!G77-RESTRICTED!G77</f>
        <v>-1.0000002570450306E-2</v>
      </c>
      <c r="P77" s="2134">
        <f>+H77-UNRESTRICTED!H77-RESTRICTED!H77</f>
        <v>-1.0000002570450306E-2</v>
      </c>
      <c r="Q77" s="2134">
        <f>+I77-UNRESTRICTED!I77-RESTRICTED!I77</f>
        <v>-1.00000174716115E-2</v>
      </c>
      <c r="R77" s="1177"/>
    </row>
    <row r="78" spans="1:18" s="309" customFormat="1" ht="18" x14ac:dyDescent="0.25">
      <c r="A78" s="1940"/>
      <c r="B78" s="1949"/>
      <c r="C78" s="1949"/>
      <c r="D78" s="1949"/>
      <c r="E78" s="276" t="e">
        <f>+E77/(+COMBINED!$G$49+COMBINED!$G$52+COMBINED!$G$53)</f>
        <v>#REF!</v>
      </c>
      <c r="F78" s="1825">
        <f>F77/F56</f>
        <v>0.12065545650696277</v>
      </c>
      <c r="G78" s="1702">
        <f t="shared" ref="G78:I78" si="15">G77/G56</f>
        <v>5.1949385813496993E-2</v>
      </c>
      <c r="H78" s="1860">
        <f t="shared" si="15"/>
        <v>3.5495818066526665E-2</v>
      </c>
      <c r="I78" s="1049">
        <f t="shared" si="15"/>
        <v>1.4768466403471752E-2</v>
      </c>
      <c r="J78" s="349" t="e">
        <f>+J77/(+COMBINED!$H$49+COMBINED!$H$52+COMBINED!$H$53)</f>
        <v>#REF!</v>
      </c>
      <c r="K78" s="276" t="e">
        <f>+K77/(+COMBINED!$G$49+COMBINED!$G$52+COMBINED!$G$53)</f>
        <v>#REF!</v>
      </c>
      <c r="L78" s="349" t="e">
        <f>+L77/(+COMBINED!$H$49+COMBINED!$H$52+COMBINED!$H$53)</f>
        <v>#REF!</v>
      </c>
      <c r="M78" s="350"/>
      <c r="N78" s="2134">
        <f>+F78-UNRESTRICTED!F78-RESTRICTED!F78</f>
        <v>-4.163336342344337E-17</v>
      </c>
      <c r="O78" s="2134">
        <f>+G78-UNRESTRICTED!G78-RESTRICTED!G78</f>
        <v>-1.1511085834525758E-10</v>
      </c>
      <c r="P78" s="2134">
        <f>+H78-UNRESTRICTED!H78-RESTRICTED!H78</f>
        <v>-1.2443981955989614E-10</v>
      </c>
      <c r="Q78" s="2134">
        <f>+I78-UNRESTRICTED!I78-RESTRICTED!I78</f>
        <v>-1.2096526211258229E-10</v>
      </c>
      <c r="R78" s="1177"/>
    </row>
    <row r="79" spans="1:18" s="344" customFormat="1" ht="28.5" customHeight="1" x14ac:dyDescent="0.25">
      <c r="A79" s="2070" t="str">
        <f>+UNRESTRICTED!A79</f>
        <v>TOTAL COMPONENTS OF ENDING FUND BALANCE</v>
      </c>
      <c r="B79" s="2086"/>
      <c r="C79" s="2071"/>
      <c r="D79" s="2071"/>
      <c r="E79" s="351" t="e">
        <f>+SUM(E64:E67,E75,E77)</f>
        <v>#REF!</v>
      </c>
      <c r="F79" s="1816">
        <f>+SUM(F64:F67,F75,F77)</f>
        <v>18555569.899999991</v>
      </c>
      <c r="G79" s="1876">
        <f>+SUM(G64:G67,G75,G77)</f>
        <v>8625860.8999999911</v>
      </c>
      <c r="H79" s="1851">
        <f>+SUM(H64:H67,H75,H77)</f>
        <v>6385187.786499992</v>
      </c>
      <c r="I79" s="1073">
        <f t="shared" ref="I79:L79" si="16">+SUM(I64:I67,I75,I77)</f>
        <v>4622576.5287177414</v>
      </c>
      <c r="J79" s="351" t="e">
        <f t="shared" si="16"/>
        <v>#REF!</v>
      </c>
      <c r="K79" s="352" t="e">
        <f t="shared" si="16"/>
        <v>#REF!</v>
      </c>
      <c r="L79" s="351" t="e">
        <f t="shared" si="16"/>
        <v>#REF!</v>
      </c>
      <c r="M79" s="1076"/>
      <c r="N79" s="2134">
        <f>+F79-UNRESTRICTED!F79-RESTRICTED!F79</f>
        <v>0</v>
      </c>
      <c r="O79" s="2134">
        <f>+G79-UNRESTRICTED!G79-RESTRICTED!G79</f>
        <v>-1.0000002570450306E-2</v>
      </c>
      <c r="P79" s="2134">
        <f>+H79-UNRESTRICTED!H79-RESTRICTED!H79</f>
        <v>-1.0000002570450306E-2</v>
      </c>
      <c r="Q79" s="2134">
        <f>+I79-UNRESTRICTED!I79-RESTRICTED!I79</f>
        <v>-1.00000174716115E-2</v>
      </c>
      <c r="R79" s="1177"/>
    </row>
    <row r="80" spans="1:18" s="309" customFormat="1" ht="24.75" customHeight="1" thickBot="1" x14ac:dyDescent="0.3">
      <c r="A80" s="2072"/>
      <c r="B80" s="2073"/>
      <c r="C80" s="2073"/>
      <c r="D80" s="2073"/>
      <c r="E80" s="354" t="e">
        <f>+E79/(+COMBINED!$G$49+COMBINED!$G$52+COMBINED!$G$53)</f>
        <v>#REF!</v>
      </c>
      <c r="F80" s="1817">
        <f>F79/F56</f>
        <v>0.22470562186726209</v>
      </c>
      <c r="G80" s="1877">
        <f>G79/G56</f>
        <v>9.929300193600292E-2</v>
      </c>
      <c r="H80" s="1852">
        <f t="shared" ref="H80:I80" si="17">H79/H56</f>
        <v>7.9457140313874408E-2</v>
      </c>
      <c r="I80" s="1074">
        <f t="shared" si="17"/>
        <v>5.5917020982993962E-2</v>
      </c>
      <c r="J80" s="354" t="e">
        <f>+J79/(COMBINED!$J$49+COMBINED!$J$52+COMBINED!$J$53)</f>
        <v>#REF!</v>
      </c>
      <c r="K80" s="355" t="e">
        <f>+K79/(COMBINED!$K$49+COMBINED!$K$52+COMBINED!$K$53)</f>
        <v>#REF!</v>
      </c>
      <c r="L80" s="354" t="e">
        <f>+L79/(COMBINED!$L$49+COMBINED!$L$52+COMBINED!$L$53)</f>
        <v>#REF!</v>
      </c>
      <c r="M80" s="353"/>
      <c r="N80" s="2134">
        <f>+F80-UNRESTRICTED!F80-RESTRICTED!F80</f>
        <v>6.6360397236656155E-2</v>
      </c>
      <c r="O80" s="2134">
        <f>+G80-UNRESTRICTED!G80-RESTRICTED!G80</f>
        <v>1.0034077525625434E-2</v>
      </c>
      <c r="P80" s="2134">
        <f>+H80-UNRESTRICTED!H80-RESTRICTED!H80</f>
        <v>6.0593898155485992E-3</v>
      </c>
      <c r="Q80" s="2134">
        <f>+I80-UNRESTRICTED!I80-RESTRICTED!I80</f>
        <v>3.46727547570852E-3</v>
      </c>
      <c r="R80" s="1177"/>
    </row>
    <row r="81" spans="1:18" s="309" customFormat="1" ht="19.5" thickTop="1" thickBot="1" x14ac:dyDescent="0.3">
      <c r="A81" s="1942"/>
      <c r="B81" s="2087"/>
      <c r="C81" s="2088"/>
      <c r="D81" s="2088"/>
      <c r="E81" s="225"/>
      <c r="F81" s="225"/>
      <c r="G81" s="1790"/>
      <c r="H81" s="225"/>
      <c r="I81" s="2135"/>
      <c r="J81" s="356"/>
      <c r="K81" s="225"/>
      <c r="L81" s="356"/>
      <c r="M81" s="353"/>
      <c r="N81" s="2134">
        <f>+F81-UNRESTRICTED!F81-RESTRICTED!F80</f>
        <v>0</v>
      </c>
      <c r="O81" s="2134">
        <f>+G81-UNRESTRICTED!G81-RESTRICTED!G80</f>
        <v>0</v>
      </c>
      <c r="P81" s="2134">
        <f>+H81-UNRESTRICTED!H81-RESTRICTED!H80</f>
        <v>0</v>
      </c>
      <c r="Q81" s="2134">
        <f>+I81-UNRESTRICTED!I81-RESTRICTED!I80</f>
        <v>0</v>
      </c>
      <c r="R81" s="1177"/>
    </row>
    <row r="82" spans="1:18" ht="18.75" thickTop="1" x14ac:dyDescent="0.25">
      <c r="A82" s="1942"/>
      <c r="B82" s="1942"/>
      <c r="C82" s="1942"/>
      <c r="D82" s="1942"/>
      <c r="E82" s="357"/>
      <c r="F82" s="357"/>
      <c r="G82" s="357"/>
      <c r="H82" s="357"/>
      <c r="I82" s="357"/>
      <c r="J82" s="357"/>
      <c r="K82" s="357"/>
      <c r="L82" s="357"/>
      <c r="N82" s="1175"/>
      <c r="O82" s="1175"/>
      <c r="P82" s="1175"/>
      <c r="Q82" s="1175"/>
    </row>
    <row r="83" spans="1:18" ht="18" x14ac:dyDescent="0.25">
      <c r="A83" s="1942"/>
      <c r="B83" s="1942"/>
      <c r="C83" s="1942"/>
      <c r="D83" s="1942"/>
      <c r="E83" s="358"/>
      <c r="F83" s="404"/>
      <c r="G83" s="358"/>
      <c r="H83" s="358"/>
      <c r="I83" s="358"/>
      <c r="J83" s="358"/>
      <c r="K83" s="358"/>
      <c r="L83" s="358"/>
      <c r="N83" s="1175"/>
      <c r="O83" s="1175"/>
      <c r="P83" s="1175"/>
      <c r="Q83" s="1175"/>
    </row>
    <row r="84" spans="1:18" ht="18" x14ac:dyDescent="0.25">
      <c r="A84" s="1942"/>
      <c r="B84" s="1942"/>
      <c r="C84" s="1942"/>
      <c r="D84" s="1942"/>
      <c r="E84" s="359"/>
      <c r="F84" s="359"/>
      <c r="G84" s="359"/>
      <c r="H84" s="359"/>
      <c r="I84" s="359"/>
      <c r="J84" s="359"/>
      <c r="K84" s="359"/>
      <c r="L84" s="359"/>
    </row>
    <row r="85" spans="1:18" ht="18" x14ac:dyDescent="0.25">
      <c r="A85" s="1942"/>
      <c r="B85" s="1942"/>
      <c r="C85" s="2088"/>
      <c r="D85" s="2088"/>
      <c r="E85" s="359"/>
      <c r="F85" s="360"/>
      <c r="G85" s="359"/>
      <c r="H85" s="359"/>
      <c r="I85" s="359"/>
      <c r="J85" s="359"/>
      <c r="K85" s="359"/>
      <c r="L85" s="359"/>
    </row>
    <row r="86" spans="1:18" ht="18" x14ac:dyDescent="0.25">
      <c r="A86" s="1942"/>
      <c r="B86" s="1942"/>
      <c r="C86" s="2088"/>
      <c r="D86" s="2088"/>
      <c r="E86" s="360"/>
      <c r="F86" s="360"/>
      <c r="G86" s="360"/>
      <c r="H86" s="360"/>
      <c r="I86" s="360"/>
      <c r="J86" s="360"/>
      <c r="K86" s="360"/>
      <c r="L86" s="360"/>
    </row>
    <row r="87" spans="1:18" ht="18" x14ac:dyDescent="0.25">
      <c r="A87" s="2089"/>
      <c r="B87" s="2090"/>
      <c r="C87" s="2090"/>
      <c r="D87" s="2090"/>
      <c r="E87" s="361"/>
      <c r="F87" s="361"/>
      <c r="G87" s="361"/>
      <c r="H87" s="361"/>
      <c r="I87" s="361"/>
      <c r="J87" s="361"/>
      <c r="K87" s="361"/>
      <c r="L87" s="361"/>
    </row>
    <row r="88" spans="1:18" ht="18" x14ac:dyDescent="0.25">
      <c r="A88" s="1942"/>
      <c r="B88" s="1942"/>
      <c r="C88" s="1942"/>
      <c r="D88" s="1942"/>
      <c r="E88" s="362"/>
      <c r="F88" s="405"/>
      <c r="G88" s="362"/>
      <c r="H88" s="406"/>
      <c r="I88" s="362"/>
      <c r="J88" s="406"/>
      <c r="K88" s="362"/>
      <c r="L88" s="406"/>
    </row>
    <row r="89" spans="1:18" ht="18" x14ac:dyDescent="0.25">
      <c r="A89" s="1942"/>
      <c r="B89" s="1942"/>
      <c r="C89" s="1942"/>
      <c r="D89" s="1942"/>
      <c r="E89" s="363"/>
      <c r="F89" s="363"/>
      <c r="G89" s="363"/>
      <c r="H89" s="363"/>
      <c r="I89" s="363"/>
      <c r="J89" s="363"/>
      <c r="K89" s="363"/>
      <c r="L89" s="363"/>
      <c r="M89" s="407"/>
    </row>
    <row r="90" spans="1:18" ht="18" x14ac:dyDescent="0.25">
      <c r="A90" s="1942"/>
      <c r="B90" s="1942"/>
      <c r="C90" s="1942"/>
      <c r="D90" s="1942"/>
      <c r="E90" s="363"/>
      <c r="F90" s="363"/>
      <c r="G90" s="363"/>
      <c r="H90" s="363"/>
      <c r="I90" s="363"/>
      <c r="J90" s="363"/>
      <c r="K90" s="363"/>
      <c r="L90" s="363"/>
      <c r="M90" s="408"/>
    </row>
    <row r="91" spans="1:18" ht="18" x14ac:dyDescent="0.25">
      <c r="A91" s="1942"/>
      <c r="B91" s="1942"/>
      <c r="C91" s="1942"/>
      <c r="D91" s="1942"/>
      <c r="E91" s="363"/>
      <c r="F91" s="363"/>
      <c r="G91" s="363"/>
      <c r="H91" s="363"/>
      <c r="I91" s="363"/>
      <c r="J91" s="363"/>
      <c r="K91" s="363"/>
      <c r="L91" s="363"/>
      <c r="M91" s="408"/>
    </row>
    <row r="92" spans="1:18" ht="18" x14ac:dyDescent="0.25">
      <c r="A92" s="1942"/>
      <c r="B92" s="1942"/>
      <c r="C92" s="1942"/>
      <c r="D92" s="1942"/>
      <c r="E92" s="363"/>
      <c r="F92" s="361"/>
      <c r="G92" s="363"/>
      <c r="H92" s="361"/>
      <c r="I92" s="363"/>
      <c r="J92" s="361"/>
      <c r="K92" s="363"/>
      <c r="L92" s="361"/>
      <c r="M92" s="408"/>
    </row>
    <row r="93" spans="1:18" ht="18" x14ac:dyDescent="0.25">
      <c r="A93" s="1942"/>
      <c r="B93" s="1942"/>
      <c r="C93" s="1942"/>
      <c r="D93" s="1942"/>
      <c r="E93" s="362"/>
      <c r="F93" s="362"/>
      <c r="G93" s="362"/>
      <c r="H93" s="362"/>
      <c r="I93" s="362"/>
      <c r="J93" s="362"/>
      <c r="K93" s="362"/>
      <c r="L93" s="362"/>
      <c r="M93" s="407"/>
    </row>
    <row r="94" spans="1:18" ht="18" x14ac:dyDescent="0.25">
      <c r="A94" s="1942"/>
      <c r="B94" s="1942"/>
      <c r="C94" s="1942"/>
      <c r="D94" s="1942"/>
      <c r="E94" s="363"/>
      <c r="F94" s="363"/>
      <c r="G94" s="363"/>
      <c r="H94" s="363"/>
      <c r="I94" s="363"/>
      <c r="J94" s="363"/>
      <c r="K94" s="363"/>
      <c r="L94" s="363"/>
      <c r="M94" s="407"/>
    </row>
    <row r="95" spans="1:18" ht="18" x14ac:dyDescent="0.25">
      <c r="A95" s="1942"/>
      <c r="B95" s="1942"/>
      <c r="C95" s="1942"/>
      <c r="D95" s="1942"/>
      <c r="E95" s="363"/>
      <c r="F95" s="363"/>
      <c r="G95" s="363"/>
      <c r="H95" s="363"/>
      <c r="I95" s="363"/>
      <c r="J95" s="363"/>
      <c r="K95" s="363"/>
      <c r="L95" s="363"/>
      <c r="M95" s="407"/>
    </row>
    <row r="96" spans="1:18" ht="18" x14ac:dyDescent="0.25">
      <c r="A96" s="1942"/>
      <c r="B96" s="1942"/>
      <c r="C96" s="1942"/>
      <c r="D96" s="1942"/>
      <c r="E96" s="363"/>
      <c r="F96" s="363"/>
      <c r="G96" s="363"/>
      <c r="H96" s="363"/>
      <c r="I96" s="363"/>
      <c r="J96" s="363"/>
      <c r="K96" s="363"/>
      <c r="L96" s="363"/>
      <c r="M96" s="407"/>
    </row>
    <row r="97" spans="1:18" ht="18" x14ac:dyDescent="0.25">
      <c r="A97" s="1942"/>
      <c r="B97" s="1942"/>
      <c r="C97" s="1942"/>
      <c r="D97" s="1942"/>
      <c r="E97" s="363"/>
      <c r="F97" s="363"/>
      <c r="G97" s="363"/>
      <c r="H97" s="363"/>
      <c r="I97" s="363"/>
      <c r="J97" s="363"/>
      <c r="K97" s="363"/>
      <c r="L97" s="363"/>
      <c r="M97" s="407"/>
    </row>
    <row r="98" spans="1:18" ht="18" x14ac:dyDescent="0.25">
      <c r="A98" s="1942"/>
      <c r="B98" s="1942"/>
      <c r="C98" s="1942"/>
      <c r="D98" s="1942"/>
      <c r="E98" s="363"/>
      <c r="F98" s="363"/>
      <c r="G98" s="363"/>
      <c r="H98" s="363"/>
      <c r="I98" s="363"/>
      <c r="J98" s="363"/>
      <c r="K98" s="363"/>
      <c r="L98" s="363"/>
      <c r="M98" s="407"/>
    </row>
    <row r="99" spans="1:18" ht="18" x14ac:dyDescent="0.25">
      <c r="A99" s="1942"/>
      <c r="B99" s="1942"/>
      <c r="C99" s="1942"/>
      <c r="D99" s="1942"/>
      <c r="E99" s="363"/>
      <c r="F99" s="363"/>
      <c r="G99" s="363"/>
      <c r="H99" s="363"/>
      <c r="I99" s="363"/>
      <c r="J99" s="363"/>
      <c r="K99" s="363"/>
      <c r="L99" s="363"/>
      <c r="M99" s="408"/>
    </row>
    <row r="100" spans="1:18" s="221" customFormat="1" ht="18" x14ac:dyDescent="0.25">
      <c r="A100" s="1942"/>
      <c r="B100" s="1942"/>
      <c r="C100" s="1942"/>
      <c r="D100" s="1942"/>
      <c r="E100" s="363"/>
      <c r="F100" s="363"/>
      <c r="G100" s="363"/>
      <c r="H100" s="363"/>
      <c r="I100" s="363"/>
      <c r="J100" s="363"/>
      <c r="K100" s="363"/>
      <c r="L100" s="363"/>
      <c r="M100" s="242"/>
      <c r="N100" s="1180"/>
      <c r="O100" s="1180"/>
      <c r="P100" s="1180"/>
      <c r="Q100" s="1180"/>
      <c r="R100" s="1180"/>
    </row>
    <row r="101" spans="1:18" s="221" customFormat="1" ht="18" x14ac:dyDescent="0.25">
      <c r="A101" s="1942"/>
      <c r="B101" s="1942"/>
      <c r="C101" s="1942"/>
      <c r="D101" s="1942"/>
      <c r="E101" s="227"/>
      <c r="F101" s="361"/>
      <c r="G101" s="227"/>
      <c r="H101" s="361"/>
      <c r="I101" s="227"/>
      <c r="J101" s="361"/>
      <c r="K101" s="227"/>
      <c r="L101" s="361"/>
      <c r="M101" s="242"/>
      <c r="N101" s="1180"/>
      <c r="O101" s="1180"/>
      <c r="P101" s="1180"/>
      <c r="Q101" s="1180"/>
      <c r="R101" s="1180"/>
    </row>
    <row r="102" spans="1:18" ht="22.5" x14ac:dyDescent="0.55000000000000004">
      <c r="A102" s="2089"/>
      <c r="B102" s="2090"/>
      <c r="C102" s="2090"/>
      <c r="D102" s="2090"/>
      <c r="E102" s="364"/>
      <c r="F102" s="409"/>
      <c r="G102" s="364"/>
      <c r="H102" s="409"/>
      <c r="I102" s="364"/>
      <c r="J102" s="409"/>
      <c r="K102" s="364"/>
      <c r="L102" s="409"/>
      <c r="M102" s="410"/>
    </row>
    <row r="103" spans="1:18" s="412" customFormat="1" ht="18" x14ac:dyDescent="0.25">
      <c r="A103" s="1941"/>
      <c r="B103" s="1941"/>
      <c r="C103" s="1941"/>
      <c r="D103" s="1941"/>
      <c r="E103" s="365"/>
      <c r="F103" s="365"/>
      <c r="G103" s="365"/>
      <c r="H103" s="365"/>
      <c r="I103" s="365"/>
      <c r="J103" s="365"/>
      <c r="K103" s="365"/>
      <c r="L103" s="365"/>
      <c r="M103" s="411"/>
      <c r="N103" s="1181"/>
      <c r="O103" s="1181"/>
      <c r="P103" s="1181"/>
      <c r="Q103" s="1181"/>
      <c r="R103" s="1181"/>
    </row>
    <row r="104" spans="1:18" ht="18" x14ac:dyDescent="0.25">
      <c r="A104" s="1942"/>
      <c r="B104" s="1942"/>
      <c r="C104" s="1942"/>
      <c r="D104" s="1942"/>
      <c r="E104" s="366"/>
      <c r="F104" s="366"/>
      <c r="G104" s="366"/>
      <c r="H104" s="366"/>
      <c r="I104" s="366"/>
      <c r="J104" s="366"/>
      <c r="K104" s="366"/>
      <c r="L104" s="366"/>
      <c r="M104" s="413"/>
    </row>
    <row r="105" spans="1:18" s="412" customFormat="1" ht="18" x14ac:dyDescent="0.25">
      <c r="A105" s="1941"/>
      <c r="B105" s="1941"/>
      <c r="C105" s="1941"/>
      <c r="D105" s="1941"/>
      <c r="E105" s="365"/>
      <c r="F105" s="365"/>
      <c r="G105" s="365"/>
      <c r="H105" s="365"/>
      <c r="I105" s="365"/>
      <c r="J105" s="365"/>
      <c r="K105" s="365"/>
      <c r="L105" s="365"/>
      <c r="M105" s="411"/>
      <c r="N105" s="1181"/>
      <c r="O105" s="1181"/>
      <c r="P105" s="1181"/>
      <c r="Q105" s="1181"/>
      <c r="R105" s="1181"/>
    </row>
    <row r="106" spans="1:18" ht="18" x14ac:dyDescent="0.25">
      <c r="A106" s="1942"/>
      <c r="B106" s="1942"/>
      <c r="C106" s="1942"/>
      <c r="D106" s="1942"/>
      <c r="E106" s="366"/>
      <c r="F106" s="366"/>
      <c r="G106" s="366"/>
      <c r="H106" s="366"/>
      <c r="I106" s="366"/>
      <c r="J106" s="366"/>
      <c r="K106" s="366"/>
      <c r="L106" s="366"/>
      <c r="M106" s="413"/>
    </row>
    <row r="107" spans="1:18" s="412" customFormat="1" ht="18" x14ac:dyDescent="0.25">
      <c r="A107" s="1941"/>
      <c r="B107" s="1941"/>
      <c r="C107" s="1941"/>
      <c r="D107" s="1941"/>
      <c r="E107" s="365"/>
      <c r="F107" s="365"/>
      <c r="G107" s="365"/>
      <c r="H107" s="365"/>
      <c r="I107" s="365"/>
      <c r="J107" s="365"/>
      <c r="K107" s="365"/>
      <c r="L107" s="365"/>
      <c r="M107" s="411"/>
      <c r="N107" s="1181"/>
      <c r="O107" s="1181"/>
      <c r="P107" s="1181"/>
      <c r="Q107" s="1181"/>
      <c r="R107" s="1181"/>
    </row>
    <row r="108" spans="1:18" ht="18" x14ac:dyDescent="0.25">
      <c r="A108" s="1941"/>
      <c r="B108" s="1942"/>
      <c r="C108" s="1942"/>
      <c r="D108" s="1942"/>
      <c r="E108" s="366"/>
      <c r="F108" s="366"/>
      <c r="G108" s="366"/>
      <c r="H108" s="366"/>
      <c r="I108" s="366"/>
      <c r="J108" s="366"/>
      <c r="K108" s="366"/>
      <c r="L108" s="366"/>
      <c r="M108" s="413"/>
    </row>
    <row r="109" spans="1:18" ht="18" x14ac:dyDescent="0.25">
      <c r="A109" s="1942"/>
      <c r="B109" s="1942"/>
      <c r="C109" s="2091"/>
      <c r="D109" s="2091"/>
      <c r="E109" s="366"/>
      <c r="F109" s="366"/>
      <c r="G109" s="366"/>
      <c r="H109" s="366"/>
      <c r="I109" s="366"/>
      <c r="J109" s="366"/>
      <c r="K109" s="366"/>
      <c r="L109" s="366"/>
      <c r="M109" s="413"/>
    </row>
    <row r="110" spans="1:18" ht="18" x14ac:dyDescent="0.25">
      <c r="A110" s="2089"/>
      <c r="B110" s="1942"/>
      <c r="C110" s="1942"/>
      <c r="D110" s="1942"/>
      <c r="E110" s="366"/>
      <c r="F110" s="366"/>
      <c r="G110" s="366"/>
      <c r="H110" s="366"/>
      <c r="I110" s="366"/>
      <c r="J110" s="366"/>
      <c r="K110" s="366"/>
      <c r="L110" s="366"/>
    </row>
    <row r="111" spans="1:18" s="415" customFormat="1" ht="22.5" customHeight="1" x14ac:dyDescent="0.25">
      <c r="A111" s="2092"/>
      <c r="B111" s="2093"/>
      <c r="C111" s="2094"/>
      <c r="D111" s="2094"/>
      <c r="E111" s="365"/>
      <c r="F111" s="365"/>
      <c r="G111" s="365"/>
      <c r="H111" s="365"/>
      <c r="I111" s="365"/>
      <c r="J111" s="365"/>
      <c r="K111" s="365"/>
      <c r="L111" s="365"/>
      <c r="M111" s="414"/>
      <c r="N111" s="1182"/>
      <c r="O111" s="1182"/>
      <c r="P111" s="1182"/>
      <c r="Q111" s="1182"/>
      <c r="R111" s="1182"/>
    </row>
    <row r="112" spans="1:18" s="417" customFormat="1" ht="18" x14ac:dyDescent="0.25">
      <c r="A112" s="2095"/>
      <c r="B112" s="2096"/>
      <c r="C112" s="2095"/>
      <c r="D112" s="2095"/>
      <c r="E112" s="367"/>
      <c r="F112" s="367"/>
      <c r="G112" s="367"/>
      <c r="H112" s="367"/>
      <c r="I112" s="367"/>
      <c r="J112" s="367"/>
      <c r="K112" s="367"/>
      <c r="L112" s="367"/>
      <c r="M112" s="416"/>
      <c r="N112" s="1183"/>
      <c r="O112" s="1183"/>
      <c r="P112" s="1183"/>
      <c r="Q112" s="1183"/>
      <c r="R112" s="1183"/>
    </row>
    <row r="113" spans="1:18" s="415" customFormat="1" ht="22.5" customHeight="1" x14ac:dyDescent="0.25">
      <c r="A113" s="2092"/>
      <c r="B113" s="2097"/>
      <c r="C113" s="2092"/>
      <c r="D113" s="2092"/>
      <c r="E113" s="365"/>
      <c r="F113" s="365"/>
      <c r="G113" s="365"/>
      <c r="H113" s="365"/>
      <c r="I113" s="365"/>
      <c r="J113" s="365"/>
      <c r="K113" s="365"/>
      <c r="L113" s="365"/>
      <c r="M113" s="414"/>
      <c r="N113" s="1182"/>
      <c r="O113" s="1182"/>
      <c r="P113" s="1182"/>
      <c r="Q113" s="1182"/>
      <c r="R113" s="1182"/>
    </row>
    <row r="114" spans="1:18" s="417" customFormat="1" ht="18" x14ac:dyDescent="0.25">
      <c r="A114" s="2095"/>
      <c r="B114" s="2096"/>
      <c r="C114" s="2095"/>
      <c r="D114" s="2095"/>
      <c r="E114" s="367"/>
      <c r="F114" s="367"/>
      <c r="G114" s="367"/>
      <c r="H114" s="367"/>
      <c r="I114" s="367"/>
      <c r="J114" s="367"/>
      <c r="K114" s="367"/>
      <c r="L114" s="367"/>
      <c r="M114" s="416"/>
      <c r="N114" s="1183"/>
      <c r="O114" s="1183"/>
      <c r="P114" s="1183"/>
      <c r="Q114" s="1183"/>
      <c r="R114" s="1183"/>
    </row>
    <row r="115" spans="1:18" s="415" customFormat="1" ht="22.5" customHeight="1" x14ac:dyDescent="0.25">
      <c r="A115" s="2092"/>
      <c r="B115" s="2097"/>
      <c r="C115" s="2092"/>
      <c r="D115" s="2092"/>
      <c r="E115" s="365"/>
      <c r="F115" s="365"/>
      <c r="G115" s="365"/>
      <c r="H115" s="365"/>
      <c r="I115" s="365"/>
      <c r="J115" s="365"/>
      <c r="K115" s="365"/>
      <c r="L115" s="365"/>
      <c r="M115" s="414"/>
      <c r="N115" s="1182"/>
      <c r="O115" s="1182"/>
      <c r="P115" s="1182"/>
      <c r="Q115" s="1182"/>
      <c r="R115" s="1182"/>
    </row>
    <row r="116" spans="1:18" s="417" customFormat="1" ht="18" x14ac:dyDescent="0.25">
      <c r="A116" s="2095"/>
      <c r="B116" s="2096"/>
      <c r="C116" s="2095"/>
      <c r="D116" s="2095"/>
      <c r="E116" s="367"/>
      <c r="F116" s="367"/>
      <c r="G116" s="367"/>
      <c r="H116" s="367"/>
      <c r="I116" s="367"/>
      <c r="J116" s="367"/>
      <c r="K116" s="367"/>
      <c r="L116" s="367"/>
      <c r="M116" s="416"/>
      <c r="N116" s="1183"/>
      <c r="O116" s="1183"/>
      <c r="P116" s="1183"/>
      <c r="Q116" s="1183"/>
      <c r="R116" s="1183"/>
    </row>
    <row r="117" spans="1:18" s="415" customFormat="1" ht="18" customHeight="1" x14ac:dyDescent="0.25">
      <c r="A117" s="2092"/>
      <c r="B117" s="2092"/>
      <c r="C117" s="2097"/>
      <c r="D117" s="2097"/>
      <c r="E117" s="365"/>
      <c r="F117" s="365"/>
      <c r="G117" s="365"/>
      <c r="H117" s="365"/>
      <c r="I117" s="365"/>
      <c r="J117" s="365"/>
      <c r="K117" s="365"/>
      <c r="L117" s="365"/>
      <c r="M117" s="414"/>
      <c r="N117" s="1182"/>
      <c r="O117" s="1182"/>
      <c r="P117" s="1182"/>
      <c r="Q117" s="1182"/>
      <c r="R117" s="1182"/>
    </row>
    <row r="118" spans="1:18" ht="18" x14ac:dyDescent="0.25">
      <c r="A118" s="2089"/>
      <c r="B118" s="1942"/>
      <c r="C118" s="1942"/>
      <c r="D118" s="1942"/>
      <c r="E118" s="368"/>
      <c r="F118" s="418"/>
      <c r="G118" s="368"/>
      <c r="H118" s="368"/>
      <c r="I118" s="368"/>
      <c r="J118" s="368"/>
      <c r="K118" s="368"/>
      <c r="L118" s="368"/>
    </row>
    <row r="119" spans="1:18" ht="18" x14ac:dyDescent="0.25">
      <c r="A119" s="2092"/>
      <c r="B119" s="2093"/>
      <c r="C119" s="2094"/>
      <c r="D119" s="2094"/>
      <c r="E119" s="365"/>
      <c r="F119" s="365"/>
      <c r="G119" s="365"/>
      <c r="H119" s="365"/>
      <c r="I119" s="365"/>
      <c r="J119" s="365"/>
      <c r="K119" s="365"/>
      <c r="L119" s="365"/>
    </row>
    <row r="120" spans="1:18" ht="18" x14ac:dyDescent="0.2">
      <c r="A120" s="2095"/>
      <c r="B120" s="2096"/>
      <c r="C120" s="2095"/>
      <c r="D120" s="2095"/>
      <c r="E120" s="367"/>
      <c r="F120" s="367"/>
      <c r="G120" s="367"/>
      <c r="H120" s="367"/>
      <c r="I120" s="367"/>
      <c r="J120" s="367"/>
      <c r="K120" s="367"/>
      <c r="L120" s="367"/>
    </row>
    <row r="121" spans="1:18" ht="18" x14ac:dyDescent="0.25">
      <c r="A121" s="2092"/>
      <c r="B121" s="2097"/>
      <c r="C121" s="2092"/>
      <c r="D121" s="2092"/>
      <c r="E121" s="365"/>
      <c r="F121" s="365"/>
      <c r="G121" s="365"/>
      <c r="H121" s="365"/>
      <c r="I121" s="365"/>
      <c r="J121" s="365"/>
      <c r="K121" s="365"/>
      <c r="L121" s="365"/>
    </row>
    <row r="122" spans="1:18" ht="18" x14ac:dyDescent="0.2">
      <c r="A122" s="2095"/>
      <c r="B122" s="2096"/>
      <c r="C122" s="2095"/>
      <c r="D122" s="2095"/>
      <c r="E122" s="367"/>
      <c r="F122" s="367"/>
      <c r="G122" s="367"/>
      <c r="H122" s="367"/>
      <c r="I122" s="367"/>
      <c r="J122" s="367"/>
      <c r="K122" s="367"/>
      <c r="L122" s="367"/>
    </row>
    <row r="123" spans="1:18" ht="18" x14ac:dyDescent="0.25">
      <c r="A123" s="2092"/>
      <c r="B123" s="2097"/>
      <c r="C123" s="2092"/>
      <c r="D123" s="2092"/>
      <c r="E123" s="365"/>
      <c r="F123" s="365"/>
      <c r="G123" s="365"/>
      <c r="H123" s="365"/>
      <c r="I123" s="365"/>
      <c r="J123" s="365"/>
      <c r="K123" s="365"/>
      <c r="L123" s="365"/>
    </row>
    <row r="124" spans="1:18" ht="20.25" x14ac:dyDescent="0.2">
      <c r="A124" s="2095"/>
      <c r="B124" s="2096"/>
      <c r="C124" s="2095"/>
      <c r="D124" s="2095"/>
      <c r="E124" s="369"/>
      <c r="F124" s="367"/>
      <c r="G124" s="369"/>
      <c r="H124" s="369"/>
      <c r="I124" s="369"/>
      <c r="J124" s="369"/>
      <c r="K124" s="369"/>
      <c r="L124" s="369"/>
    </row>
    <row r="125" spans="1:18" ht="18" x14ac:dyDescent="0.25">
      <c r="A125" s="2092"/>
      <c r="B125" s="2092"/>
      <c r="C125" s="2097"/>
      <c r="D125" s="2097"/>
      <c r="E125" s="365"/>
      <c r="F125" s="365"/>
      <c r="G125" s="365"/>
      <c r="H125" s="365"/>
      <c r="I125" s="365"/>
      <c r="J125" s="365"/>
      <c r="K125" s="365"/>
      <c r="L125" s="365"/>
    </row>
    <row r="126" spans="1:18" ht="18" x14ac:dyDescent="0.25">
      <c r="A126" s="2089"/>
      <c r="B126" s="1942"/>
      <c r="C126" s="1942"/>
      <c r="D126" s="2098"/>
      <c r="E126" s="365"/>
      <c r="F126" s="365"/>
      <c r="G126" s="365"/>
      <c r="H126" s="365"/>
      <c r="I126" s="365"/>
      <c r="J126" s="365"/>
      <c r="K126" s="365"/>
      <c r="L126" s="365"/>
    </row>
    <row r="127" spans="1:18" ht="18" x14ac:dyDescent="0.25">
      <c r="A127" s="2089"/>
      <c r="B127" s="1942"/>
      <c r="C127" s="1942"/>
      <c r="D127" s="2099"/>
      <c r="E127" s="370"/>
      <c r="F127" s="419"/>
      <c r="G127" s="370"/>
      <c r="H127" s="419"/>
      <c r="I127" s="370"/>
      <c r="J127" s="419"/>
      <c r="K127" s="370"/>
      <c r="L127" s="419"/>
    </row>
    <row r="128" spans="1:18" ht="18" x14ac:dyDescent="0.25">
      <c r="A128" s="2089"/>
      <c r="B128" s="1941"/>
      <c r="C128" s="1942"/>
      <c r="D128" s="2098"/>
      <c r="E128" s="371"/>
      <c r="F128" s="371"/>
      <c r="G128" s="371"/>
      <c r="H128" s="371"/>
      <c r="I128" s="371"/>
      <c r="J128" s="371"/>
      <c r="K128" s="371"/>
      <c r="L128" s="371"/>
    </row>
    <row r="129" spans="1:12" ht="18" x14ac:dyDescent="0.25">
      <c r="A129" s="2089"/>
      <c r="B129" s="1941"/>
      <c r="C129" s="1942"/>
      <c r="D129" s="2100"/>
      <c r="E129" s="372"/>
      <c r="F129" s="420"/>
      <c r="G129" s="372"/>
      <c r="H129" s="372"/>
      <c r="I129" s="372"/>
      <c r="J129" s="372"/>
      <c r="K129" s="372"/>
      <c r="L129" s="372"/>
    </row>
    <row r="130" spans="1:12" ht="18" x14ac:dyDescent="0.25">
      <c r="A130" s="2089"/>
      <c r="B130" s="1941"/>
      <c r="C130" s="1942"/>
      <c r="D130" s="2098"/>
      <c r="E130" s="373"/>
      <c r="F130" s="371"/>
      <c r="G130" s="373"/>
      <c r="H130" s="373"/>
      <c r="I130" s="373"/>
      <c r="J130" s="373"/>
      <c r="K130" s="373"/>
      <c r="L130" s="373"/>
    </row>
    <row r="131" spans="1:12" ht="18" x14ac:dyDescent="0.25">
      <c r="A131" s="2089"/>
      <c r="B131" s="1941"/>
      <c r="C131" s="1942"/>
      <c r="D131" s="2100"/>
      <c r="E131" s="371"/>
      <c r="F131" s="371"/>
      <c r="G131" s="371"/>
      <c r="H131" s="371"/>
      <c r="I131" s="371"/>
      <c r="J131" s="371"/>
      <c r="K131" s="371"/>
      <c r="L131" s="371"/>
    </row>
    <row r="132" spans="1:12" ht="18" x14ac:dyDescent="0.25">
      <c r="A132" s="2089"/>
      <c r="B132" s="1941"/>
      <c r="C132" s="1942"/>
      <c r="D132" s="2098"/>
      <c r="E132" s="360"/>
      <c r="F132" s="421"/>
      <c r="G132" s="360"/>
      <c r="H132" s="421"/>
      <c r="I132" s="360"/>
      <c r="J132" s="421"/>
      <c r="K132" s="360"/>
      <c r="L132" s="421"/>
    </row>
    <row r="133" spans="1:12" ht="18" x14ac:dyDescent="0.25">
      <c r="B133" s="1941"/>
      <c r="E133" s="375"/>
      <c r="F133" s="376"/>
      <c r="G133" s="375"/>
      <c r="H133" s="376"/>
      <c r="I133" s="375"/>
      <c r="J133" s="376"/>
      <c r="K133" s="375"/>
      <c r="L133" s="376"/>
    </row>
    <row r="134" spans="1:12" ht="18" x14ac:dyDescent="0.25">
      <c r="B134" s="1941"/>
      <c r="E134" s="376"/>
      <c r="F134" s="376"/>
      <c r="G134" s="376"/>
      <c r="H134" s="376"/>
      <c r="I134" s="376"/>
      <c r="J134" s="376"/>
      <c r="K134" s="376"/>
      <c r="L134" s="376"/>
    </row>
    <row r="139" spans="1:12" x14ac:dyDescent="0.25">
      <c r="E139" s="377"/>
      <c r="F139" s="377"/>
      <c r="G139" s="377"/>
      <c r="H139" s="377"/>
      <c r="I139" s="377"/>
      <c r="J139" s="377"/>
      <c r="K139" s="377"/>
      <c r="L139" s="377"/>
    </row>
    <row r="140" spans="1:12" x14ac:dyDescent="0.25">
      <c r="D140" s="2102"/>
      <c r="E140" s="377"/>
      <c r="F140" s="377"/>
      <c r="G140" s="377"/>
      <c r="H140" s="377"/>
      <c r="I140" s="377"/>
      <c r="J140" s="377"/>
      <c r="K140" s="377"/>
      <c r="L140" s="377"/>
    </row>
    <row r="141" spans="1:12" x14ac:dyDescent="0.25">
      <c r="D141" s="2102"/>
    </row>
  </sheetData>
  <sheetProtection password="DBAD" sheet="1" objects="1" scenarios="1"/>
  <mergeCells count="1">
    <mergeCell ref="N3:Q3"/>
  </mergeCells>
  <printOptions horizontalCentered="1"/>
  <pageMargins left="0.25" right="0.25" top="0.69" bottom="0.17" header="0.21" footer="0.17"/>
  <pageSetup paperSize="5" scale="66" pageOrder="overThenDown" orientation="portrait" r:id="rId1"/>
  <headerFooter alignWithMargins="0">
    <oddHeader>&amp;C&amp;"Cambria,Bold"&amp;14Sylvan Union School District
2017-18 Budget</oddHeader>
  </headerFooter>
  <ignoredErrors>
    <ignoredError sqref="F79:I79 G77:I7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09"/>
  <sheetViews>
    <sheetView topLeftCell="T1" zoomScaleNormal="100" workbookViewId="0">
      <selection activeCell="AF1" sqref="AF1"/>
    </sheetView>
  </sheetViews>
  <sheetFormatPr defaultRowHeight="15" x14ac:dyDescent="0.25"/>
  <cols>
    <col min="1" max="1" width="8.5703125" style="20" customWidth="1"/>
    <col min="2" max="2" width="15.7109375" style="39" customWidth="1"/>
    <col min="3" max="3" width="16" style="44" customWidth="1"/>
    <col min="4" max="4" width="41.28515625" style="43" bestFit="1" customWidth="1"/>
    <col min="5" max="5" width="16" style="39" customWidth="1"/>
    <col min="6" max="6" width="10.5703125" style="39" bestFit="1" customWidth="1"/>
    <col min="7" max="7" width="16" style="39" customWidth="1"/>
    <col min="8" max="8" width="9.85546875" style="39" bestFit="1" customWidth="1"/>
    <col min="9" max="9" width="16" style="2" customWidth="1"/>
    <col min="10" max="10" width="7.7109375" style="39" bestFit="1" customWidth="1"/>
    <col min="11" max="11" width="16" style="39" customWidth="1"/>
    <col min="12" max="12" width="7.7109375" style="39" bestFit="1" customWidth="1"/>
    <col min="13" max="13" width="16" style="39" customWidth="1"/>
    <col min="14" max="14" width="7.7109375" style="39" bestFit="1" customWidth="1"/>
    <col min="15" max="15" width="16" style="39" customWidth="1"/>
    <col min="16" max="16" width="10.5703125" style="39" bestFit="1" customWidth="1"/>
    <col min="17" max="17" width="16" style="39" customWidth="1"/>
    <col min="18" max="18" width="9.85546875" style="39" bestFit="1" customWidth="1"/>
    <col min="19" max="19" width="16" style="39" customWidth="1"/>
    <col min="20" max="20" width="7.7109375" style="39" bestFit="1" customWidth="1"/>
    <col min="21" max="21" width="16" style="39" customWidth="1"/>
    <col min="22" max="22" width="7.7109375" style="39" bestFit="1" customWidth="1"/>
    <col min="23" max="23" width="16" style="39" customWidth="1"/>
    <col min="24" max="24" width="7.7109375" style="39" bestFit="1" customWidth="1"/>
    <col min="25" max="25" width="16" style="39" customWidth="1"/>
    <col min="26" max="26" width="7.7109375" style="39" bestFit="1" customWidth="1"/>
    <col min="27" max="27" width="16" style="39" customWidth="1"/>
    <col min="28" max="28" width="7.7109375" style="39" bestFit="1" customWidth="1"/>
    <col min="29" max="29" width="7.7109375" style="56" customWidth="1"/>
    <col min="30" max="30" width="8.5703125" style="20" customWidth="1"/>
    <col min="31" max="31" width="18.28515625" style="39" customWidth="1"/>
    <col min="32" max="32" width="16" style="39" customWidth="1"/>
    <col min="33" max="33" width="6" style="39" customWidth="1"/>
    <col min="34" max="34" width="9.42578125" style="46" bestFit="1" customWidth="1"/>
    <col min="35" max="35" width="13.85546875" style="75" bestFit="1" customWidth="1"/>
    <col min="36" max="36" width="26" style="51" bestFit="1" customWidth="1"/>
    <col min="37" max="37" width="5.7109375" style="59" customWidth="1"/>
    <col min="38" max="38" width="8.7109375" style="39" bestFit="1" customWidth="1"/>
    <col min="39" max="39" width="14" style="73" bestFit="1" customWidth="1"/>
    <col min="40" max="40" width="26" style="39" bestFit="1" customWidth="1"/>
    <col min="41" max="41" width="5.7109375" style="39" customWidth="1"/>
    <col min="42" max="42" width="9.42578125" style="39" bestFit="1" customWidth="1"/>
    <col min="43" max="43" width="14" style="39" bestFit="1" customWidth="1"/>
    <col min="44" max="44" width="24.85546875" style="39" bestFit="1" customWidth="1"/>
    <col min="45" max="45" width="5.7109375" style="39" customWidth="1"/>
    <col min="46" max="46" width="9.42578125" style="39" bestFit="1" customWidth="1"/>
    <col min="47" max="47" width="14" style="39" bestFit="1" customWidth="1"/>
    <col min="48" max="48" width="24.85546875" style="39" bestFit="1" customWidth="1"/>
    <col min="49" max="49" width="5.7109375" style="39" customWidth="1"/>
    <col min="50" max="50" width="9.42578125" style="39" bestFit="1" customWidth="1"/>
    <col min="51" max="51" width="14" style="39" bestFit="1" customWidth="1"/>
    <col min="52" max="52" width="24.85546875" style="39" bestFit="1" customWidth="1"/>
    <col min="53" max="53" width="5.7109375" style="39" customWidth="1"/>
    <col min="54" max="54" width="9.42578125" style="39" bestFit="1" customWidth="1"/>
    <col min="55" max="55" width="14" style="39" bestFit="1" customWidth="1"/>
    <col min="56" max="56" width="24.85546875" style="39" bestFit="1" customWidth="1"/>
    <col min="57" max="16384" width="9.140625" style="39"/>
  </cols>
  <sheetData>
    <row r="1" spans="1:56" x14ac:dyDescent="0.25">
      <c r="A1" s="20" t="s">
        <v>61</v>
      </c>
      <c r="B1" s="40" t="s">
        <v>60</v>
      </c>
      <c r="C1" s="41"/>
      <c r="D1" s="26" t="s">
        <v>59</v>
      </c>
      <c r="E1" s="42">
        <v>3010</v>
      </c>
      <c r="AD1" s="55" t="s">
        <v>56</v>
      </c>
      <c r="AE1" s="51"/>
      <c r="AI1" s="86">
        <f>E8*0.9</f>
        <v>1766198.7</v>
      </c>
      <c r="AJ1" s="51" t="s">
        <v>168</v>
      </c>
      <c r="AM1" s="86">
        <f>AI1*0.95</f>
        <v>1677888.7649999999</v>
      </c>
      <c r="AN1" s="51" t="s">
        <v>171</v>
      </c>
      <c r="AQ1" s="86">
        <f>AM1</f>
        <v>1677888.7649999999</v>
      </c>
      <c r="AR1" s="51" t="s">
        <v>173</v>
      </c>
      <c r="AU1" s="86">
        <f>AQ1</f>
        <v>1677888.7649999999</v>
      </c>
      <c r="AV1" s="51" t="s">
        <v>173</v>
      </c>
      <c r="AY1" s="86">
        <f>AU1</f>
        <v>1677888.7649999999</v>
      </c>
      <c r="AZ1" s="51" t="s">
        <v>173</v>
      </c>
      <c r="BC1" s="86">
        <f>AY1</f>
        <v>1677888.7649999999</v>
      </c>
      <c r="BD1" s="51" t="s">
        <v>173</v>
      </c>
    </row>
    <row r="2" spans="1:56" ht="17.25" x14ac:dyDescent="0.4">
      <c r="A2" s="20" t="s">
        <v>58</v>
      </c>
      <c r="B2" s="40" t="s">
        <v>57</v>
      </c>
      <c r="C2" s="41"/>
      <c r="AE2" s="51"/>
      <c r="AI2" s="87">
        <f>-AI1*0.15</f>
        <v>-264929.80499999999</v>
      </c>
      <c r="AJ2" s="51" t="s">
        <v>169</v>
      </c>
      <c r="AM2" s="87">
        <v>0</v>
      </c>
      <c r="AN2" s="51" t="s">
        <v>170</v>
      </c>
      <c r="AQ2" s="87">
        <v>0</v>
      </c>
      <c r="AR2" s="51"/>
      <c r="AU2" s="87">
        <v>0</v>
      </c>
      <c r="AV2" s="51"/>
      <c r="AY2" s="87">
        <v>0</v>
      </c>
      <c r="AZ2" s="51"/>
      <c r="BC2" s="87">
        <v>0</v>
      </c>
      <c r="BD2" s="51"/>
    </row>
    <row r="3" spans="1:56" x14ac:dyDescent="0.25">
      <c r="AI3" s="86">
        <f>SUM(AI1:AI2)</f>
        <v>1501268.895</v>
      </c>
      <c r="AM3" s="86">
        <f>SUM(AM1:AM2)</f>
        <v>1677888.7649999999</v>
      </c>
      <c r="AN3" s="51"/>
      <c r="AQ3" s="86">
        <f>SUM(AQ1:AQ2)</f>
        <v>1677888.7649999999</v>
      </c>
      <c r="AR3" s="51"/>
      <c r="AU3" s="86">
        <f>SUM(AU1:AU2)</f>
        <v>1677888.7649999999</v>
      </c>
      <c r="AV3" s="51"/>
      <c r="AY3" s="86">
        <f>SUM(AY1:AY2)</f>
        <v>1677888.7649999999</v>
      </c>
      <c r="AZ3" s="51"/>
      <c r="BC3" s="86">
        <f>SUM(BC1:BC2)</f>
        <v>1677888.7649999999</v>
      </c>
      <c r="BD3" s="51"/>
    </row>
    <row r="4" spans="1:56" x14ac:dyDescent="0.25">
      <c r="AI4" s="86"/>
      <c r="AM4" s="86"/>
      <c r="AN4" s="51"/>
      <c r="AQ4" s="86"/>
      <c r="AR4" s="51"/>
      <c r="AU4" s="86"/>
      <c r="AV4" s="51"/>
      <c r="AY4" s="86"/>
      <c r="AZ4" s="51"/>
      <c r="BC4" s="86"/>
      <c r="BD4" s="51"/>
    </row>
    <row r="5" spans="1:56" x14ac:dyDescent="0.25">
      <c r="AQ5" s="73"/>
      <c r="AU5" s="73"/>
      <c r="AY5" s="73"/>
      <c r="BC5" s="73"/>
    </row>
    <row r="6" spans="1:56" s="89" customFormat="1" ht="15.75" x14ac:dyDescent="0.25">
      <c r="A6" s="2145" t="s">
        <v>55</v>
      </c>
      <c r="B6" s="2145"/>
      <c r="C6" s="2145"/>
      <c r="D6" s="2145"/>
      <c r="E6" s="2145"/>
      <c r="F6" s="2145"/>
      <c r="G6" s="2145"/>
      <c r="H6" s="2145" t="s">
        <v>55</v>
      </c>
      <c r="I6" s="2145"/>
      <c r="J6" s="2145"/>
      <c r="K6" s="2145"/>
      <c r="L6" s="2145"/>
      <c r="M6" s="2145"/>
      <c r="N6" s="2145"/>
      <c r="O6" s="2145" t="s">
        <v>55</v>
      </c>
      <c r="P6" s="2145"/>
      <c r="Q6" s="2145"/>
      <c r="R6" s="2145"/>
      <c r="S6" s="2145"/>
      <c r="T6" s="2145"/>
      <c r="U6" s="2145"/>
      <c r="V6" s="2145" t="s">
        <v>55</v>
      </c>
      <c r="W6" s="2145"/>
      <c r="X6" s="2145"/>
      <c r="Y6" s="2145"/>
      <c r="Z6" s="2145"/>
      <c r="AA6" s="2145"/>
      <c r="AB6" s="2145"/>
      <c r="AC6" s="88"/>
      <c r="AF6" s="90" t="s">
        <v>55</v>
      </c>
      <c r="AH6" s="91"/>
      <c r="AI6" s="91" t="str">
        <f>LEFT(AF6,4)+1&amp;"-"&amp;RIGHT(AF6,4)+1</f>
        <v>2017-2018</v>
      </c>
      <c r="AJ6" s="92"/>
      <c r="AK6" s="93"/>
      <c r="AL6" s="94"/>
      <c r="AM6" s="95" t="str">
        <f>LEFT(AI6,4)+1&amp;"-"&amp;RIGHT(AI6,4)+1</f>
        <v>2018-2019</v>
      </c>
      <c r="AN6" s="95"/>
      <c r="AO6" s="96"/>
      <c r="AP6" s="95"/>
      <c r="AQ6" s="95" t="str">
        <f>LEFT(AM6,4)+1&amp;"-"&amp;RIGHT(AM6,4)+1</f>
        <v>2019-2020</v>
      </c>
      <c r="AR6" s="95"/>
      <c r="AS6" s="96"/>
      <c r="AT6" s="95"/>
      <c r="AU6" s="95" t="str">
        <f>LEFT(AQ6,4)+1&amp;"-"&amp;RIGHT(AQ6,4)+1</f>
        <v>2020-2021</v>
      </c>
      <c r="AV6" s="95"/>
      <c r="AW6" s="96"/>
      <c r="AX6" s="95"/>
      <c r="AY6" s="95" t="str">
        <f>LEFT(AU6,4)+1&amp;"-"&amp;RIGHT(AU6,4)+1</f>
        <v>2021-2022</v>
      </c>
      <c r="AZ6" s="95"/>
      <c r="BA6" s="96"/>
      <c r="BB6" s="95"/>
      <c r="BC6" s="95" t="str">
        <f>LEFT(AY6,4)+1&amp;"-"&amp;RIGHT(AY6,4)+1</f>
        <v>2022-2023</v>
      </c>
      <c r="BD6" s="95"/>
    </row>
    <row r="7" spans="1:56" x14ac:dyDescent="0.25">
      <c r="A7" s="21" t="s">
        <v>54</v>
      </c>
      <c r="C7" s="3">
        <v>0</v>
      </c>
      <c r="AD7" s="21" t="s">
        <v>54</v>
      </c>
      <c r="AF7" s="45">
        <f>C7</f>
        <v>0</v>
      </c>
      <c r="AI7" s="45">
        <f>AF88</f>
        <v>135963</v>
      </c>
      <c r="AJ7" s="67"/>
      <c r="AK7" s="60"/>
      <c r="AM7" s="2">
        <f>AI88</f>
        <v>-390527.10499999998</v>
      </c>
      <c r="AN7" s="73"/>
      <c r="AQ7" s="2">
        <f>AM88</f>
        <v>-1231362.5350000001</v>
      </c>
      <c r="AR7" s="73"/>
      <c r="AU7" s="2">
        <f>AQ88</f>
        <v>-2434555.7700000005</v>
      </c>
      <c r="AV7" s="73"/>
      <c r="AY7" s="2">
        <f>AU88</f>
        <v>-3726684.0050000008</v>
      </c>
      <c r="AZ7" s="73"/>
      <c r="BC7" s="2">
        <f>AY88</f>
        <v>-5096299.2400000012</v>
      </c>
      <c r="BD7" s="73"/>
    </row>
    <row r="8" spans="1:56" x14ac:dyDescent="0.25">
      <c r="D8" s="1" t="s">
        <v>113</v>
      </c>
      <c r="E8" s="3">
        <v>1962443</v>
      </c>
      <c r="G8" s="37" t="s">
        <v>112</v>
      </c>
      <c r="AI8" s="39"/>
      <c r="AM8" s="39"/>
      <c r="AN8" s="73"/>
      <c r="AR8" s="73"/>
      <c r="AV8" s="73"/>
      <c r="AZ8" s="73"/>
      <c r="BD8" s="73"/>
    </row>
    <row r="9" spans="1:56" x14ac:dyDescent="0.25">
      <c r="A9" s="20" t="s">
        <v>52</v>
      </c>
      <c r="B9" s="39" t="s">
        <v>53</v>
      </c>
      <c r="C9" s="3">
        <f>+E10</f>
        <v>1668077</v>
      </c>
      <c r="D9" s="1" t="s">
        <v>111</v>
      </c>
      <c r="E9" s="2">
        <f>ROUND(+E8*0.15,0)</f>
        <v>294366</v>
      </c>
      <c r="F9" s="46" t="s">
        <v>62</v>
      </c>
      <c r="G9" s="2">
        <v>400423.37</v>
      </c>
      <c r="AD9" s="20" t="s">
        <v>52</v>
      </c>
      <c r="AE9" s="39" t="s">
        <v>53</v>
      </c>
      <c r="AF9" s="45">
        <f>C9</f>
        <v>1668077</v>
      </c>
      <c r="AH9" s="84">
        <f>IF(AF9=0," ",(AI9-AF9)/AF9)</f>
        <v>-0.10000024279454724</v>
      </c>
      <c r="AI9" s="3">
        <f>AI3</f>
        <v>1501268.895</v>
      </c>
      <c r="AJ9" s="75" t="s">
        <v>139</v>
      </c>
      <c r="AK9" s="61"/>
      <c r="AL9" s="83">
        <f>IF(AI9=0,"0.00%",(AM9-AI9)/AI9)</f>
        <v>0.11764705882352933</v>
      </c>
      <c r="AM9" s="3">
        <f>AM3</f>
        <v>1677888.7649999999</v>
      </c>
      <c r="AN9" s="80" t="s">
        <v>172</v>
      </c>
      <c r="AP9" s="83">
        <f>IF(AM9=0,"0.00%",(AQ9-AM9)/AM9)</f>
        <v>0</v>
      </c>
      <c r="AQ9" s="3">
        <f>AQ3</f>
        <v>1677888.7649999999</v>
      </c>
      <c r="AR9" s="80" t="s">
        <v>174</v>
      </c>
      <c r="AT9" s="83">
        <f>IF(AQ9=0,"0.00%",(AU9-AQ9)/AQ9)</f>
        <v>0</v>
      </c>
      <c r="AU9" s="3">
        <f>AU3</f>
        <v>1677888.7649999999</v>
      </c>
      <c r="AV9" s="80" t="s">
        <v>174</v>
      </c>
      <c r="AX9" s="83">
        <f>IF(AU9=0,"0.00%",(AY9-AU9)/AU9)</f>
        <v>0</v>
      </c>
      <c r="AY9" s="3">
        <f>AY3</f>
        <v>1677888.7649999999</v>
      </c>
      <c r="AZ9" s="80" t="s">
        <v>174</v>
      </c>
      <c r="BB9" s="83">
        <f>IF(AY9=0,"0.00%",(BC9-AY9)/AY9)</f>
        <v>0</v>
      </c>
      <c r="BC9" s="3">
        <f>BC3</f>
        <v>1677888.7649999999</v>
      </c>
      <c r="BD9" s="80" t="s">
        <v>174</v>
      </c>
    </row>
    <row r="10" spans="1:56" x14ac:dyDescent="0.25">
      <c r="B10" s="39" t="s">
        <v>51</v>
      </c>
      <c r="C10" s="3">
        <v>1062358.3700000001</v>
      </c>
      <c r="E10" s="38">
        <f>+E8-E9</f>
        <v>1668077</v>
      </c>
      <c r="F10" s="46" t="s">
        <v>62</v>
      </c>
      <c r="G10" s="2">
        <v>449954</v>
      </c>
      <c r="AE10" s="39" t="s">
        <v>51</v>
      </c>
      <c r="AF10" s="45">
        <f>C10</f>
        <v>1062358.3700000001</v>
      </c>
      <c r="AH10" s="84">
        <f>IF(AF10=0," ",(AI10-AF10)/AF10)</f>
        <v>-0.38027880365831734</v>
      </c>
      <c r="AI10" s="3">
        <f>E9+C99+C100</f>
        <v>658366</v>
      </c>
      <c r="AJ10" s="25"/>
      <c r="AK10" s="61"/>
      <c r="AL10" s="83">
        <f>IF(AI10=0,"0.00%",(AM10-AI10)/AI10)</f>
        <v>-0.59759494718743067</v>
      </c>
      <c r="AM10" s="3">
        <f>(E8*0.9)*0.15</f>
        <v>264929.80499999999</v>
      </c>
      <c r="AN10" s="73"/>
      <c r="AP10" s="83">
        <f>IF(AM10=0,"0.00%",(AQ10-AM10)/AM10)</f>
        <v>-1</v>
      </c>
      <c r="AQ10" s="3">
        <f>(I8*0.9)*0.15</f>
        <v>0</v>
      </c>
      <c r="AR10" s="73"/>
      <c r="AT10" s="83" t="str">
        <f>IF(AQ10=0,"0.00%",(AU10-AQ10)/AQ10)</f>
        <v>0.00%</v>
      </c>
      <c r="AU10" s="3">
        <f>(M8*0.9)*0.15</f>
        <v>0</v>
      </c>
      <c r="AV10" s="73"/>
      <c r="AX10" s="83" t="str">
        <f>IF(AU10=0,"0.00%",(AY10-AU10)/AU10)</f>
        <v>0.00%</v>
      </c>
      <c r="AY10" s="3">
        <f>(Q8*0.9)*0.15</f>
        <v>0</v>
      </c>
      <c r="AZ10" s="73"/>
      <c r="BB10" s="83" t="str">
        <f>IF(AY10=0,"0.00%",(BC10-AY10)/AY10)</f>
        <v>0.00%</v>
      </c>
      <c r="BC10" s="3">
        <f>(U8*0.9)*0.15</f>
        <v>0</v>
      </c>
      <c r="BD10" s="73"/>
    </row>
    <row r="11" spans="1:56" x14ac:dyDescent="0.25">
      <c r="C11" s="47">
        <f>SUM(C9:C10)</f>
        <v>2730435.37</v>
      </c>
      <c r="F11" s="46" t="s">
        <v>63</v>
      </c>
      <c r="G11" s="17">
        <v>211981</v>
      </c>
      <c r="AD11" s="21" t="s">
        <v>137</v>
      </c>
      <c r="AF11" s="78">
        <f>SUM(AF9:AF10)</f>
        <v>2730435.37</v>
      </c>
      <c r="AH11" s="84">
        <f>IF(AF11=0," ",(AI11-AF11)/AF11)</f>
        <v>-0.20905108440636705</v>
      </c>
      <c r="AI11" s="78">
        <f>SUM(AI9:AI10)</f>
        <v>2159634.895</v>
      </c>
      <c r="AJ11" s="68"/>
      <c r="AK11" s="62"/>
      <c r="AL11" s="83">
        <f>IF(AI11=0,"0.00%",(AM11-AI11)/AI11)</f>
        <v>-0.10039489799964553</v>
      </c>
      <c r="AM11" s="78">
        <f>SUM(AM9:AM10)</f>
        <v>1942818.5699999998</v>
      </c>
      <c r="AN11" s="73"/>
      <c r="AP11" s="83">
        <f>IF(AM11=0,"0.00%",(AQ11-AM11)/AM11)</f>
        <v>-0.13636363636363635</v>
      </c>
      <c r="AQ11" s="78">
        <f>SUM(AQ9:AQ10)</f>
        <v>1677888.7649999999</v>
      </c>
      <c r="AR11" s="73"/>
      <c r="AT11" s="83">
        <f>IF(AQ11=0,"0.00%",(AU11-AQ11)/AQ11)</f>
        <v>0</v>
      </c>
      <c r="AU11" s="78">
        <f>SUM(AU9:AU10)</f>
        <v>1677888.7649999999</v>
      </c>
      <c r="AV11" s="73"/>
      <c r="AX11" s="83">
        <f>IF(AU11=0,"0.00%",(AY11-AU11)/AU11)</f>
        <v>0</v>
      </c>
      <c r="AY11" s="78">
        <f>SUM(AY9:AY10)</f>
        <v>1677888.7649999999</v>
      </c>
      <c r="AZ11" s="73"/>
      <c r="BB11" s="83">
        <f>IF(AY11=0,"0.00%",(BC11-AY11)/AY11)</f>
        <v>0</v>
      </c>
      <c r="BC11" s="78">
        <f>SUM(BC9:BC10)</f>
        <v>1677888.7649999999</v>
      </c>
      <c r="BD11" s="73"/>
    </row>
    <row r="12" spans="1:56" x14ac:dyDescent="0.25">
      <c r="F12" s="46"/>
      <c r="G12" s="10">
        <f>SUM(G9:G11)</f>
        <v>1062358.3700000001</v>
      </c>
      <c r="AI12" s="44"/>
      <c r="AJ12" s="69"/>
      <c r="AK12" s="63"/>
      <c r="AL12" s="46"/>
      <c r="AM12" s="44"/>
      <c r="AN12" s="73"/>
      <c r="AP12" s="46"/>
      <c r="AQ12" s="44"/>
      <c r="AR12" s="73"/>
      <c r="AT12" s="46"/>
      <c r="AU12" s="44"/>
      <c r="AV12" s="73"/>
      <c r="AX12" s="46"/>
      <c r="AY12" s="44"/>
      <c r="AZ12" s="73"/>
      <c r="BB12" s="46"/>
      <c r="BC12" s="44"/>
      <c r="BD12" s="73"/>
    </row>
    <row r="13" spans="1:56" x14ac:dyDescent="0.25">
      <c r="A13" s="52">
        <v>3.6999999999999998E-2</v>
      </c>
      <c r="B13" s="39" t="s">
        <v>64</v>
      </c>
      <c r="C13" s="18">
        <f>ROUND(C11-(C11/(1+A13)),0)</f>
        <v>97422</v>
      </c>
      <c r="G13" s="2"/>
      <c r="AD13" s="52">
        <v>3.6999999999999998E-2</v>
      </c>
      <c r="AE13" s="13" t="s">
        <v>64</v>
      </c>
      <c r="AF13" s="53">
        <f>C13</f>
        <v>97422</v>
      </c>
      <c r="AH13" s="84">
        <f>IF(AF13=0," ",(AI13-AF13)/AF13)</f>
        <v>-0.20905955533657694</v>
      </c>
      <c r="AI13" s="77">
        <f>ROUND(AI11-(AI11/(1+AD13)),0)</f>
        <v>77055</v>
      </c>
      <c r="AJ13" s="27"/>
      <c r="AK13" s="64"/>
      <c r="AL13" s="83">
        <f>IF(AI13=0,"0.00%",(AM13-AI13)/AI13)</f>
        <v>-0.10039582116669911</v>
      </c>
      <c r="AM13" s="77">
        <f>ROUND(AM11-(AM11/(1+AD13)),0)</f>
        <v>69319</v>
      </c>
      <c r="AN13" s="73"/>
      <c r="AP13" s="83">
        <f>IF(AM13=0,"0.00%",(AQ13-AM13)/AM13)</f>
        <v>-0.13635511187408936</v>
      </c>
      <c r="AQ13" s="77">
        <f>ROUND(AQ11-(AQ11/(1+AD13)),0)</f>
        <v>59867</v>
      </c>
      <c r="AR13" s="73"/>
      <c r="AT13" s="83">
        <f>IF(AQ13=0,"0.00%",(AU13-AQ13)/AQ13)</f>
        <v>0</v>
      </c>
      <c r="AU13" s="77">
        <f>ROUND(AU11-(AU11/(1+AD13)),0)</f>
        <v>59867</v>
      </c>
      <c r="AV13" s="73"/>
      <c r="AX13" s="83">
        <f>IF(AU13=0,"0.00%",(AY13-AU13)/AU13)</f>
        <v>0</v>
      </c>
      <c r="AY13" s="77">
        <f>ROUND(AY11-(AY11/(1+AD13)),0)</f>
        <v>59867</v>
      </c>
      <c r="AZ13" s="73"/>
      <c r="BB13" s="83">
        <f>IF(AY13=0,"0.00%",(BC13-AY13)/AY13)</f>
        <v>-8.4080211134681875</v>
      </c>
      <c r="BC13" s="77">
        <f>ROUND(BC11-(BC11/(1+AH13)),0)</f>
        <v>-443496</v>
      </c>
      <c r="BD13" s="73"/>
    </row>
    <row r="14" spans="1:56" x14ac:dyDescent="0.25">
      <c r="AI14" s="44"/>
      <c r="AJ14" s="69"/>
      <c r="AK14" s="63"/>
      <c r="AL14" s="46"/>
      <c r="AM14" s="44"/>
      <c r="AN14" s="73"/>
      <c r="AP14" s="46"/>
      <c r="AQ14" s="44"/>
      <c r="AR14" s="73"/>
      <c r="AT14" s="46"/>
      <c r="AU14" s="44"/>
      <c r="AV14" s="73"/>
      <c r="AX14" s="46"/>
      <c r="AY14" s="44"/>
      <c r="AZ14" s="73"/>
      <c r="BB14" s="46"/>
      <c r="BC14" s="44"/>
      <c r="BD14" s="73"/>
    </row>
    <row r="15" spans="1:56" x14ac:dyDescent="0.25">
      <c r="A15" s="21" t="s">
        <v>50</v>
      </c>
      <c r="C15" s="19">
        <f>SUM(C7,C11)-C13</f>
        <v>2633013.37</v>
      </c>
      <c r="D15" s="31"/>
      <c r="AD15" s="21" t="s">
        <v>50</v>
      </c>
      <c r="AF15" s="53">
        <f>AF11-AF13</f>
        <v>2633013.37</v>
      </c>
      <c r="AH15" s="84">
        <f>IF(AF15=0," ",(AI15-AF15)/AF15)</f>
        <v>-0.2090507709803236</v>
      </c>
      <c r="AI15" s="19">
        <f>AI11-AI13</f>
        <v>2082579.895</v>
      </c>
      <c r="AJ15" s="68"/>
      <c r="AK15" s="62"/>
      <c r="AL15" s="83">
        <f>IF(AI15=0,"0.00%",(AM15-AI15)/AI15)</f>
        <v>-0.10039486384266673</v>
      </c>
      <c r="AM15" s="19">
        <f>AM11-AM13</f>
        <v>1873499.5699999998</v>
      </c>
      <c r="AN15" s="73"/>
      <c r="AP15" s="83">
        <f>IF(AM15=0,"0.00%",(AQ15-AM15)/AM15)</f>
        <v>-0.13636395176754695</v>
      </c>
      <c r="AQ15" s="19">
        <f>AQ11-AQ13</f>
        <v>1618021.7649999999</v>
      </c>
      <c r="AR15" s="73"/>
      <c r="AT15" s="83">
        <f>IF(AQ15=0,"0.00%",(AU15-AQ15)/AQ15)</f>
        <v>0</v>
      </c>
      <c r="AU15" s="19">
        <f>AU11-AU13</f>
        <v>1618021.7649999999</v>
      </c>
      <c r="AV15" s="73"/>
      <c r="AX15" s="83">
        <f>IF(AU15=0,"0.00%",(AY15-AU15)/AU15)</f>
        <v>0</v>
      </c>
      <c r="AY15" s="19">
        <f>AY11-AY13</f>
        <v>1618021.7649999999</v>
      </c>
      <c r="AZ15" s="73"/>
      <c r="BB15" s="83">
        <f>IF(AY15=0,"0.00%",(BC15-AY15)/AY15)</f>
        <v>0.31109779292740219</v>
      </c>
      <c r="BC15" s="19">
        <f>BC11-BC13</f>
        <v>2121384.7649999997</v>
      </c>
      <c r="BD15" s="73"/>
    </row>
    <row r="16" spans="1:56" x14ac:dyDescent="0.25">
      <c r="D16" s="48"/>
      <c r="AI16" s="49"/>
      <c r="AJ16" s="68"/>
      <c r="AK16" s="62"/>
      <c r="AM16" s="49"/>
      <c r="AN16" s="73"/>
      <c r="AQ16" s="49"/>
      <c r="AR16" s="73"/>
      <c r="AU16" s="49"/>
      <c r="AV16" s="73"/>
      <c r="AY16" s="49"/>
      <c r="AZ16" s="73"/>
      <c r="BC16" s="49"/>
      <c r="BD16" s="73"/>
    </row>
    <row r="17" spans="1:56" x14ac:dyDescent="0.25">
      <c r="B17" s="20" t="s">
        <v>98</v>
      </c>
      <c r="C17" s="23">
        <v>42782</v>
      </c>
      <c r="D17" s="28"/>
      <c r="AE17" s="20"/>
      <c r="AI17" s="44"/>
      <c r="AJ17" s="69"/>
      <c r="AK17" s="63"/>
      <c r="AM17" s="44"/>
      <c r="AN17" s="73"/>
      <c r="AQ17" s="44"/>
      <c r="AR17" s="73"/>
      <c r="AU17" s="44"/>
      <c r="AV17" s="73"/>
      <c r="AY17" s="44"/>
      <c r="AZ17" s="73"/>
      <c r="BC17" s="44"/>
      <c r="BD17" s="73"/>
    </row>
    <row r="18" spans="1:56" x14ac:dyDescent="0.25">
      <c r="C18" s="9"/>
      <c r="D18" s="32"/>
      <c r="E18" s="9"/>
      <c r="F18" s="32"/>
      <c r="G18" s="9"/>
      <c r="H18" s="32"/>
      <c r="I18" s="9"/>
      <c r="J18" s="32"/>
      <c r="K18" s="9"/>
      <c r="L18" s="32"/>
      <c r="M18" s="32"/>
      <c r="N18" s="32"/>
      <c r="O18" s="32"/>
      <c r="P18" s="32"/>
      <c r="Q18" s="32"/>
      <c r="R18" s="32"/>
      <c r="S18" s="32"/>
      <c r="T18" s="32"/>
      <c r="U18" s="32"/>
      <c r="V18" s="32"/>
      <c r="W18" s="32"/>
      <c r="X18" s="32"/>
      <c r="Y18" s="32"/>
      <c r="Z18" s="32"/>
      <c r="AA18" s="32"/>
      <c r="AB18" s="32"/>
      <c r="AC18" s="32"/>
      <c r="AF18" s="32"/>
      <c r="AG18" s="32"/>
      <c r="AI18" s="15">
        <v>0.02</v>
      </c>
      <c r="AJ18" s="70"/>
      <c r="AK18" s="65"/>
      <c r="AM18" s="15">
        <v>0.02</v>
      </c>
      <c r="AN18" s="73"/>
      <c r="AQ18" s="15">
        <v>0.02</v>
      </c>
      <c r="AR18" s="73"/>
      <c r="AU18" s="15">
        <v>0.02</v>
      </c>
      <c r="AV18" s="73"/>
      <c r="AY18" s="15">
        <v>0.02</v>
      </c>
      <c r="AZ18" s="73"/>
      <c r="BC18" s="15">
        <v>0.02</v>
      </c>
      <c r="BD18" s="73"/>
    </row>
    <row r="19" spans="1:56" ht="17.25" x14ac:dyDescent="0.4">
      <c r="C19" s="35" t="s">
        <v>75</v>
      </c>
      <c r="D19" s="34" t="s">
        <v>47</v>
      </c>
      <c r="E19" s="35" t="s">
        <v>99</v>
      </c>
      <c r="F19" s="34" t="s">
        <v>47</v>
      </c>
      <c r="G19" s="35" t="s">
        <v>100</v>
      </c>
      <c r="H19" s="34" t="s">
        <v>47</v>
      </c>
      <c r="I19" s="35" t="s">
        <v>101</v>
      </c>
      <c r="J19" s="34" t="s">
        <v>47</v>
      </c>
      <c r="K19" s="35" t="s">
        <v>102</v>
      </c>
      <c r="L19" s="34" t="s">
        <v>47</v>
      </c>
      <c r="M19" s="35" t="s">
        <v>103</v>
      </c>
      <c r="N19" s="34" t="s">
        <v>47</v>
      </c>
      <c r="O19" s="35" t="s">
        <v>104</v>
      </c>
      <c r="P19" s="34" t="s">
        <v>47</v>
      </c>
      <c r="Q19" s="35" t="s">
        <v>105</v>
      </c>
      <c r="R19" s="34" t="s">
        <v>47</v>
      </c>
      <c r="S19" s="35" t="s">
        <v>106</v>
      </c>
      <c r="T19" s="34" t="s">
        <v>47</v>
      </c>
      <c r="U19" s="35" t="s">
        <v>107</v>
      </c>
      <c r="V19" s="34" t="s">
        <v>47</v>
      </c>
      <c r="W19" s="35" t="s">
        <v>108</v>
      </c>
      <c r="X19" s="34" t="s">
        <v>47</v>
      </c>
      <c r="Y19" s="35" t="s">
        <v>109</v>
      </c>
      <c r="Z19" s="34" t="s">
        <v>47</v>
      </c>
      <c r="AA19" s="35" t="s">
        <v>110</v>
      </c>
      <c r="AB19" s="34" t="s">
        <v>47</v>
      </c>
      <c r="AC19" s="79"/>
      <c r="AF19" s="35" t="s">
        <v>118</v>
      </c>
      <c r="AG19" s="34"/>
      <c r="AI19" s="14" t="s">
        <v>48</v>
      </c>
      <c r="AJ19" s="5"/>
      <c r="AK19" s="29"/>
      <c r="AM19" s="14" t="s">
        <v>48</v>
      </c>
      <c r="AN19" s="72"/>
      <c r="AQ19" s="14" t="s">
        <v>48</v>
      </c>
      <c r="AR19" s="72"/>
      <c r="AU19" s="14" t="s">
        <v>48</v>
      </c>
      <c r="AV19" s="72"/>
      <c r="AY19" s="14" t="s">
        <v>48</v>
      </c>
      <c r="AZ19" s="72"/>
      <c r="BC19" s="14" t="s">
        <v>48</v>
      </c>
      <c r="BD19" s="72"/>
    </row>
    <row r="20" spans="1:56" s="13" customFormat="1" x14ac:dyDescent="0.25">
      <c r="A20" s="21" t="s">
        <v>46</v>
      </c>
      <c r="D20" s="7"/>
      <c r="F20" s="4"/>
      <c r="H20" s="4"/>
      <c r="J20" s="4"/>
      <c r="L20" s="4"/>
      <c r="N20" s="4"/>
      <c r="P20" s="4"/>
      <c r="R20" s="4"/>
      <c r="T20" s="4"/>
      <c r="V20" s="4"/>
      <c r="X20" s="4"/>
      <c r="Z20" s="4"/>
      <c r="AB20" s="4"/>
      <c r="AC20" s="58"/>
      <c r="AD20" s="21" t="str">
        <f t="shared" ref="AD20:AD27" si="0">A20</f>
        <v xml:space="preserve">Certificated </v>
      </c>
      <c r="AF20" s="10"/>
      <c r="AG20" s="10"/>
      <c r="AH20" s="1"/>
      <c r="AI20" s="10"/>
      <c r="AJ20" s="6"/>
      <c r="AK20" s="57"/>
      <c r="AM20" s="10"/>
      <c r="AN20" s="74"/>
      <c r="AQ20" s="10"/>
      <c r="AR20" s="74"/>
      <c r="AU20" s="10"/>
      <c r="AV20" s="74"/>
      <c r="AY20" s="10"/>
      <c r="AZ20" s="74"/>
      <c r="BC20" s="10"/>
      <c r="BD20" s="74"/>
    </row>
    <row r="21" spans="1:56" x14ac:dyDescent="0.25">
      <c r="A21" s="12" t="s">
        <v>65</v>
      </c>
      <c r="B21" s="39" t="s">
        <v>66</v>
      </c>
      <c r="C21" s="25">
        <v>0</v>
      </c>
      <c r="D21" s="30"/>
      <c r="E21" s="25">
        <v>7250</v>
      </c>
      <c r="F21" s="25"/>
      <c r="G21" s="25">
        <v>1000</v>
      </c>
      <c r="H21" s="25"/>
      <c r="I21" s="25">
        <v>7313</v>
      </c>
      <c r="J21" s="25"/>
      <c r="K21" s="25">
        <v>3657</v>
      </c>
      <c r="L21" s="25"/>
      <c r="M21" s="25">
        <v>2600</v>
      </c>
      <c r="N21" s="25"/>
      <c r="O21" s="25">
        <v>3741</v>
      </c>
      <c r="P21" s="25"/>
      <c r="Q21" s="25">
        <v>4307</v>
      </c>
      <c r="R21" s="25"/>
      <c r="S21" s="25">
        <v>8207</v>
      </c>
      <c r="T21" s="25"/>
      <c r="U21" s="25">
        <v>3605</v>
      </c>
      <c r="V21" s="25"/>
      <c r="W21" s="25">
        <v>4662</v>
      </c>
      <c r="X21" s="25"/>
      <c r="Y21" s="25">
        <v>7800</v>
      </c>
      <c r="Z21" s="25"/>
      <c r="AA21" s="25">
        <v>8778</v>
      </c>
      <c r="AB21" s="25"/>
      <c r="AC21" s="61"/>
      <c r="AD21" s="12" t="str">
        <f t="shared" si="0"/>
        <v>1110</v>
      </c>
      <c r="AE21" s="39" t="str">
        <f t="shared" ref="AE21:AE27" si="1">B21</f>
        <v>Intervention Tchr.</v>
      </c>
      <c r="AF21" s="2">
        <f>SUM(C21,E21,G21,I21,K21,M21,O21,Q21,S21,U21,W21,Y21,AA21)</f>
        <v>62920</v>
      </c>
      <c r="AG21" s="2"/>
      <c r="AH21" s="83">
        <f t="shared" ref="AH21:AH29" si="2">IF(AF21=0,"0.00%",(AI21-AF21)/AF21)</f>
        <v>1.9993642720915448E-2</v>
      </c>
      <c r="AI21" s="2">
        <f t="shared" ref="AI21:AI27" si="3">ROUND(AF21*(1+$AI$18),0)</f>
        <v>64178</v>
      </c>
      <c r="AJ21" s="36" t="str">
        <f t="shared" ref="AJ21:AJ26" si="4">TEXT($AI$18,"0.0%")&amp;" = Est. S &amp; C"</f>
        <v>2.0% = Est. S &amp; C</v>
      </c>
      <c r="AK21" s="66"/>
      <c r="AL21" s="83">
        <f t="shared" ref="AL21:AL27" si="5">IF(AI21=0,"0.00%",(AM21-AI21)/AI21)</f>
        <v>2.0006855931939294E-2</v>
      </c>
      <c r="AM21" s="2">
        <f>ROUND(AI21*(1+AM18),0)</f>
        <v>65462</v>
      </c>
      <c r="AN21" s="36" t="str">
        <f>TEXT(AM18,"0.0%")&amp;" = Est. S &amp; C"</f>
        <v>2.0% = Est. S &amp; C</v>
      </c>
      <c r="AP21" s="83">
        <f t="shared" ref="AP21:AP27" si="6">IF(AM21=0,"0.00%",(AQ21-AM21)/AM21)</f>
        <v>1.9996333750878371E-2</v>
      </c>
      <c r="AQ21" s="2">
        <f>ROUND(AM21*(1+AQ18),0)</f>
        <v>66771</v>
      </c>
      <c r="AR21" s="36" t="str">
        <f>TEXT(AQ18,"0.0%")&amp;" = Est. S &amp; C"</f>
        <v>2.0% = Est. S &amp; C</v>
      </c>
      <c r="AT21" s="83">
        <f t="shared" ref="AT21:AT27" si="7">IF(AQ21=0,"0.00%",(AU21-AQ21)/AQ21)</f>
        <v>1.9993709844093994E-2</v>
      </c>
      <c r="AU21" s="2">
        <f>ROUND(AQ21*(1+AU18),0)</f>
        <v>68106</v>
      </c>
      <c r="AV21" s="36" t="str">
        <f>TEXT(AU18,"0.0%")&amp;" = Est. S &amp; C"</f>
        <v>2.0% = Est. S &amp; C</v>
      </c>
      <c r="AX21" s="83">
        <f t="shared" ref="AX21:AX27" si="8">IF(AU21=0,"0.00%",(AY21-AU21)/AU21)</f>
        <v>1.999823804070126E-2</v>
      </c>
      <c r="AY21" s="2">
        <f>ROUND(AU21*(1+AY18),0)</f>
        <v>69468</v>
      </c>
      <c r="AZ21" s="36" t="str">
        <f>TEXT(AY18,"0.0%")&amp;" = Est. S &amp; C"</f>
        <v>2.0% = Est. S &amp; C</v>
      </c>
      <c r="BB21" s="83">
        <f t="shared" ref="BB21:BB27" si="9">IF(AY21=0,"0.00%",(BC21-AY21)/AY21)</f>
        <v>1.9994817757816547E-2</v>
      </c>
      <c r="BC21" s="2">
        <f>ROUND(AY21*(1+BC18),0)</f>
        <v>70857</v>
      </c>
      <c r="BD21" s="36" t="str">
        <f>TEXT(BC18,"0.0%")&amp;" = Est. S &amp; C"</f>
        <v>2.0% = Est. S &amp; C</v>
      </c>
    </row>
    <row r="22" spans="1:56" x14ac:dyDescent="0.25">
      <c r="A22" s="12" t="s">
        <v>45</v>
      </c>
      <c r="B22" s="39" t="s">
        <v>44</v>
      </c>
      <c r="C22" s="3">
        <v>9089</v>
      </c>
      <c r="D22" s="30"/>
      <c r="E22" s="2">
        <v>0</v>
      </c>
      <c r="F22" s="36"/>
      <c r="G22" s="2">
        <v>0</v>
      </c>
      <c r="H22" s="36"/>
      <c r="I22" s="2">
        <v>0</v>
      </c>
      <c r="J22" s="36"/>
      <c r="K22" s="2">
        <v>0</v>
      </c>
      <c r="L22" s="36"/>
      <c r="M22" s="2">
        <v>1050</v>
      </c>
      <c r="N22" s="36"/>
      <c r="O22" s="2">
        <v>0</v>
      </c>
      <c r="P22" s="36"/>
      <c r="Q22" s="2">
        <v>0</v>
      </c>
      <c r="R22" s="36"/>
      <c r="S22" s="2">
        <v>150</v>
      </c>
      <c r="T22" s="36"/>
      <c r="U22" s="2">
        <v>0</v>
      </c>
      <c r="V22" s="36"/>
      <c r="W22" s="2">
        <v>0</v>
      </c>
      <c r="X22" s="36"/>
      <c r="Y22" s="2">
        <v>0</v>
      </c>
      <c r="Z22" s="36"/>
      <c r="AA22" s="2">
        <v>0</v>
      </c>
      <c r="AB22" s="36"/>
      <c r="AC22" s="66"/>
      <c r="AD22" s="12" t="str">
        <f t="shared" si="0"/>
        <v>1112</v>
      </c>
      <c r="AE22" s="39" t="str">
        <f t="shared" si="1"/>
        <v>Supplemental Tchr.</v>
      </c>
      <c r="AF22" s="2">
        <f t="shared" ref="AF22:AF27" si="10">SUM(C22,E22,G22,I22,K22,M22,O22,Q22,S22,U22,W22,Y22,AA22)</f>
        <v>10289</v>
      </c>
      <c r="AG22" s="2"/>
      <c r="AH22" s="83">
        <f t="shared" si="2"/>
        <v>2.0021382058509087E-2</v>
      </c>
      <c r="AI22" s="2">
        <f t="shared" si="3"/>
        <v>10495</v>
      </c>
      <c r="AJ22" s="36" t="str">
        <f t="shared" si="4"/>
        <v>2.0% = Est. S &amp; C</v>
      </c>
      <c r="AK22" s="66"/>
      <c r="AL22" s="83">
        <f t="shared" si="5"/>
        <v>2.0009528346831826E-2</v>
      </c>
      <c r="AM22" s="2">
        <f>ROUND(AI22*(1+AM18),0)</f>
        <v>10705</v>
      </c>
      <c r="AN22" s="36" t="str">
        <f>TEXT(AM18,"0.0%")&amp;" = Est. S &amp; C"</f>
        <v>2.0% = Est. S &amp; C</v>
      </c>
      <c r="AP22" s="83">
        <f t="shared" si="6"/>
        <v>1.9990658570761325E-2</v>
      </c>
      <c r="AQ22" s="2">
        <f>ROUND(AM22*(1+AQ18),0)</f>
        <v>10919</v>
      </c>
      <c r="AR22" s="36" t="str">
        <f>TEXT(AQ18,"0.0%")&amp;" = Est. S &amp; C"</f>
        <v>2.0% = Est. S &amp; C</v>
      </c>
      <c r="AT22" s="83">
        <f t="shared" si="7"/>
        <v>1.9965198278230609E-2</v>
      </c>
      <c r="AU22" s="2">
        <f>ROUND(AQ22*(1+AU18),0)</f>
        <v>11137</v>
      </c>
      <c r="AV22" s="36" t="str">
        <f>TEXT(AU18,"0.0%")&amp;" = Est. S &amp; C"</f>
        <v>2.0% = Est. S &amp; C</v>
      </c>
      <c r="AX22" s="83">
        <f t="shared" si="8"/>
        <v>2.0023345604740953E-2</v>
      </c>
      <c r="AY22" s="2">
        <f>ROUND(AU22*(1+AY18),0)</f>
        <v>11360</v>
      </c>
      <c r="AZ22" s="36" t="str">
        <f>TEXT(AY18,"0.0%")&amp;" = Est. S &amp; C"</f>
        <v>2.0% = Est. S &amp; C</v>
      </c>
      <c r="BB22" s="83">
        <f t="shared" si="9"/>
        <v>1.9982394366197184E-2</v>
      </c>
      <c r="BC22" s="2">
        <f>ROUND(AY22*(1+BC18),0)</f>
        <v>11587</v>
      </c>
      <c r="BD22" s="36" t="str">
        <f>TEXT(BC18,"0.0%")&amp;" = Est. S &amp; C"</f>
        <v>2.0% = Est. S &amp; C</v>
      </c>
    </row>
    <row r="23" spans="1:56" x14ac:dyDescent="0.25">
      <c r="A23" s="12" t="s">
        <v>43</v>
      </c>
      <c r="B23" s="39" t="s">
        <v>42</v>
      </c>
      <c r="C23" s="3">
        <v>69521</v>
      </c>
      <c r="D23" s="30"/>
      <c r="E23" s="2">
        <v>8400</v>
      </c>
      <c r="F23" s="36"/>
      <c r="G23" s="2">
        <v>4175</v>
      </c>
      <c r="H23" s="36"/>
      <c r="I23" s="2">
        <v>12600</v>
      </c>
      <c r="J23" s="36"/>
      <c r="K23" s="2">
        <v>9672</v>
      </c>
      <c r="L23" s="36"/>
      <c r="M23" s="2">
        <v>9310</v>
      </c>
      <c r="N23" s="36"/>
      <c r="O23" s="2">
        <v>1050</v>
      </c>
      <c r="P23" s="36"/>
      <c r="Q23" s="2">
        <v>4340</v>
      </c>
      <c r="R23" s="36"/>
      <c r="S23" s="2">
        <v>6591</v>
      </c>
      <c r="T23" s="36"/>
      <c r="U23" s="2">
        <v>7280</v>
      </c>
      <c r="V23" s="36"/>
      <c r="W23" s="2">
        <v>3310</v>
      </c>
      <c r="X23" s="36"/>
      <c r="Y23" s="2">
        <v>6300</v>
      </c>
      <c r="Z23" s="36"/>
      <c r="AA23" s="2">
        <v>10000</v>
      </c>
      <c r="AB23" s="36"/>
      <c r="AC23" s="66"/>
      <c r="AD23" s="12" t="str">
        <f t="shared" si="0"/>
        <v>1181</v>
      </c>
      <c r="AE23" s="39" t="str">
        <f t="shared" si="1"/>
        <v>Subs</v>
      </c>
      <c r="AF23" s="2">
        <f t="shared" si="10"/>
        <v>152549</v>
      </c>
      <c r="AG23" s="2"/>
      <c r="AH23" s="83">
        <f t="shared" si="2"/>
        <v>2.0000131105415309E-2</v>
      </c>
      <c r="AI23" s="2">
        <f t="shared" si="3"/>
        <v>155600</v>
      </c>
      <c r="AJ23" s="36" t="str">
        <f t="shared" si="4"/>
        <v>2.0% = Est. S &amp; C</v>
      </c>
      <c r="AK23" s="66"/>
      <c r="AL23" s="83">
        <f t="shared" si="5"/>
        <v>0.02</v>
      </c>
      <c r="AM23" s="2">
        <f>ROUND(AI23*(1+AM18),0)</f>
        <v>158712</v>
      </c>
      <c r="AN23" s="36" t="str">
        <f>TEXT(AM18,"0.0%")&amp;" = Est. S &amp; C"</f>
        <v>2.0% = Est. S &amp; C</v>
      </c>
      <c r="AP23" s="83">
        <f t="shared" si="6"/>
        <v>1.9998487827007409E-2</v>
      </c>
      <c r="AQ23" s="2">
        <f>ROUND(AM23*(1+AQ18),0)</f>
        <v>161886</v>
      </c>
      <c r="AR23" s="36" t="str">
        <f>TEXT(AQ18,"0.0%")&amp;" = Est. S &amp; C"</f>
        <v>2.0% = Est. S &amp; C</v>
      </c>
      <c r="AT23" s="83">
        <f t="shared" si="7"/>
        <v>2.0001729612196237E-2</v>
      </c>
      <c r="AU23" s="2">
        <f>ROUND(AQ23*(1+AU18),0)</f>
        <v>165124</v>
      </c>
      <c r="AV23" s="36" t="str">
        <f>TEXT(AU18,"0.0%")&amp;" = Est. S &amp; C"</f>
        <v>2.0% = Est. S &amp; C</v>
      </c>
      <c r="AX23" s="83">
        <f t="shared" si="8"/>
        <v>1.9997093093675058E-2</v>
      </c>
      <c r="AY23" s="2">
        <f>ROUND(AU23*(1+AY18),0)</f>
        <v>168426</v>
      </c>
      <c r="AZ23" s="36" t="str">
        <f>TEXT(AY18,"0.0%")&amp;" = Est. S &amp; C"</f>
        <v>2.0% = Est. S &amp; C</v>
      </c>
      <c r="BB23" s="83">
        <f t="shared" si="9"/>
        <v>2.0002849916283708E-2</v>
      </c>
      <c r="BC23" s="2">
        <f>ROUND(AY23*(1+BC18),0)</f>
        <v>171795</v>
      </c>
      <c r="BD23" s="36" t="str">
        <f>TEXT(BC18,"0.0%")&amp;" = Est. S &amp; C"</f>
        <v>2.0% = Est. S &amp; C</v>
      </c>
    </row>
    <row r="24" spans="1:56" x14ac:dyDescent="0.25">
      <c r="A24" s="12" t="s">
        <v>41</v>
      </c>
      <c r="B24" s="39" t="s">
        <v>40</v>
      </c>
      <c r="C24" s="3">
        <v>250203</v>
      </c>
      <c r="D24" s="30" t="s">
        <v>119</v>
      </c>
      <c r="E24" s="2">
        <v>0</v>
      </c>
      <c r="F24" s="36"/>
      <c r="G24" s="2">
        <v>0</v>
      </c>
      <c r="H24" s="36"/>
      <c r="I24" s="2">
        <v>0</v>
      </c>
      <c r="J24" s="36"/>
      <c r="K24" s="2">
        <v>0</v>
      </c>
      <c r="L24" s="36"/>
      <c r="M24" s="2">
        <v>0</v>
      </c>
      <c r="N24" s="36"/>
      <c r="O24" s="2">
        <v>0</v>
      </c>
      <c r="P24" s="36"/>
      <c r="Q24" s="2">
        <v>0</v>
      </c>
      <c r="R24" s="36"/>
      <c r="S24" s="2">
        <v>0</v>
      </c>
      <c r="T24" s="36"/>
      <c r="U24" s="2">
        <v>0</v>
      </c>
      <c r="V24" s="36"/>
      <c r="W24" s="2">
        <v>0</v>
      </c>
      <c r="X24" s="36"/>
      <c r="Y24" s="2">
        <v>0</v>
      </c>
      <c r="Z24" s="36"/>
      <c r="AA24" s="2">
        <v>0</v>
      </c>
      <c r="AB24" s="36"/>
      <c r="AC24" s="66"/>
      <c r="AD24" s="12" t="str">
        <f t="shared" si="0"/>
        <v>1204</v>
      </c>
      <c r="AE24" s="39" t="str">
        <f t="shared" si="1"/>
        <v>Counselor</v>
      </c>
      <c r="AF24" s="2">
        <f t="shared" si="10"/>
        <v>250203</v>
      </c>
      <c r="AG24" s="2"/>
      <c r="AH24" s="83">
        <f t="shared" si="2"/>
        <v>1.9999760194721886E-2</v>
      </c>
      <c r="AI24" s="2">
        <f t="shared" si="3"/>
        <v>255207</v>
      </c>
      <c r="AJ24" s="36" t="str">
        <f t="shared" si="4"/>
        <v>2.0% = Est. S &amp; C</v>
      </c>
      <c r="AK24" s="66"/>
      <c r="AL24" s="83">
        <f t="shared" si="5"/>
        <v>1.9999451425705406E-2</v>
      </c>
      <c r="AM24" s="2">
        <f>ROUND(AI24*(1+AM18),0)</f>
        <v>260311</v>
      </c>
      <c r="AN24" s="36" t="str">
        <f>TEXT(AM18,"0.0%")&amp;" = Est. S &amp; C"</f>
        <v>2.0% = Est. S &amp; C</v>
      </c>
      <c r="AP24" s="83">
        <f t="shared" si="6"/>
        <v>1.9999154857074805E-2</v>
      </c>
      <c r="AQ24" s="2">
        <f>ROUND(AM24*(1+AQ18),0)</f>
        <v>265517</v>
      </c>
      <c r="AR24" s="36" t="str">
        <f>TEXT(AQ18,"0.0%")&amp;" = Est. S &amp; C"</f>
        <v>2.0% = Est. S &amp; C</v>
      </c>
      <c r="AT24" s="83">
        <f t="shared" si="7"/>
        <v>1.999871947935537E-2</v>
      </c>
      <c r="AU24" s="2">
        <f>ROUND(AQ24*(1+AU18),0)</f>
        <v>270827</v>
      </c>
      <c r="AV24" s="36" t="str">
        <f>TEXT(AU18,"0.0%")&amp;" = Est. S &amp; C"</f>
        <v>2.0% = Est. S &amp; C</v>
      </c>
      <c r="AX24" s="83">
        <f t="shared" si="8"/>
        <v>2.000169850125726E-2</v>
      </c>
      <c r="AY24" s="2">
        <f>ROUND(AU24*(1+AY18),0)</f>
        <v>276244</v>
      </c>
      <c r="AZ24" s="36" t="str">
        <f>TEXT(AY18,"0.0%")&amp;" = Est. S &amp; C"</f>
        <v>2.0% = Est. S &amp; C</v>
      </c>
      <c r="BB24" s="83">
        <f t="shared" si="9"/>
        <v>2.0000434398575174E-2</v>
      </c>
      <c r="BC24" s="2">
        <f>ROUND(AY24*(1+BC18),0)</f>
        <v>281769</v>
      </c>
      <c r="BD24" s="36" t="str">
        <f>TEXT(BC18,"0.0%")&amp;" = Est. S &amp; C"</f>
        <v>2.0% = Est. S &amp; C</v>
      </c>
    </row>
    <row r="25" spans="1:56" x14ac:dyDescent="0.25">
      <c r="A25" s="12" t="s">
        <v>67</v>
      </c>
      <c r="B25" s="39" t="s">
        <v>68</v>
      </c>
      <c r="C25" s="3">
        <v>0</v>
      </c>
      <c r="D25" s="30"/>
      <c r="E25" s="2">
        <v>1219</v>
      </c>
      <c r="F25" s="36"/>
      <c r="G25" s="2">
        <v>0</v>
      </c>
      <c r="H25" s="36"/>
      <c r="I25" s="2">
        <v>457</v>
      </c>
      <c r="J25" s="36"/>
      <c r="K25" s="2">
        <v>0</v>
      </c>
      <c r="L25" s="36"/>
      <c r="M25" s="2">
        <v>0</v>
      </c>
      <c r="N25" s="36"/>
      <c r="O25" s="2">
        <v>1016</v>
      </c>
      <c r="P25" s="36"/>
      <c r="Q25" s="2">
        <v>863</v>
      </c>
      <c r="R25" s="36"/>
      <c r="S25" s="2">
        <v>0</v>
      </c>
      <c r="T25" s="36"/>
      <c r="U25" s="2">
        <v>0</v>
      </c>
      <c r="V25" s="36"/>
      <c r="W25" s="2">
        <v>609</v>
      </c>
      <c r="X25" s="36"/>
      <c r="Y25" s="2">
        <v>0</v>
      </c>
      <c r="Z25" s="36"/>
      <c r="AA25" s="2">
        <v>1016</v>
      </c>
      <c r="AB25" s="36"/>
      <c r="AC25" s="66"/>
      <c r="AD25" s="12" t="str">
        <f t="shared" si="0"/>
        <v>1208</v>
      </c>
      <c r="AE25" s="39" t="str">
        <f t="shared" si="1"/>
        <v>Parent Instruction</v>
      </c>
      <c r="AF25" s="2">
        <f t="shared" si="10"/>
        <v>5180</v>
      </c>
      <c r="AG25" s="2"/>
      <c r="AH25" s="83">
        <f t="shared" si="2"/>
        <v>2.0077220077220077E-2</v>
      </c>
      <c r="AI25" s="2">
        <f t="shared" si="3"/>
        <v>5284</v>
      </c>
      <c r="AJ25" s="36" t="str">
        <f t="shared" si="4"/>
        <v>2.0% = Est. S &amp; C</v>
      </c>
      <c r="AK25" s="66"/>
      <c r="AL25" s="83">
        <f t="shared" si="5"/>
        <v>2.0060560181680544E-2</v>
      </c>
      <c r="AM25" s="2">
        <f>ROUND(AI25*(1+AM18),0)</f>
        <v>5390</v>
      </c>
      <c r="AN25" s="36" t="str">
        <f>TEXT(AM18,"0.0%")&amp;" = Est. S &amp; C"</f>
        <v>2.0% = Est. S &amp; C</v>
      </c>
      <c r="AP25" s="83">
        <f t="shared" si="6"/>
        <v>2.0037105751391466E-2</v>
      </c>
      <c r="AQ25" s="2">
        <f>ROUND(AM25*(1+AQ18),0)</f>
        <v>5498</v>
      </c>
      <c r="AR25" s="36" t="str">
        <f>TEXT(AQ18,"0.0%")&amp;" = Est. S &amp; C"</f>
        <v>2.0% = Est. S &amp; C</v>
      </c>
      <c r="AT25" s="83">
        <f t="shared" si="7"/>
        <v>2.000727537286286E-2</v>
      </c>
      <c r="AU25" s="2">
        <f>ROUND(AQ25*(1+AU18),0)</f>
        <v>5608</v>
      </c>
      <c r="AV25" s="36" t="str">
        <f>TEXT(AU18,"0.0%")&amp;" = Est. S &amp; C"</f>
        <v>2.0% = Est. S &amp; C</v>
      </c>
      <c r="AX25" s="83">
        <f t="shared" si="8"/>
        <v>1.9971469329529243E-2</v>
      </c>
      <c r="AY25" s="2">
        <f>ROUND(AU25*(1+AY18),0)</f>
        <v>5720</v>
      </c>
      <c r="AZ25" s="36" t="str">
        <f>TEXT(AY18,"0.0%")&amp;" = Est. S &amp; C"</f>
        <v>2.0% = Est. S &amp; C</v>
      </c>
      <c r="BB25" s="83">
        <f t="shared" si="9"/>
        <v>1.9930069930069929E-2</v>
      </c>
      <c r="BC25" s="2">
        <f>ROUND(AY25*(1+BC18),0)</f>
        <v>5834</v>
      </c>
      <c r="BD25" s="36" t="str">
        <f>TEXT(BC18,"0.0%")&amp;" = Est. S &amp; C"</f>
        <v>2.0% = Est. S &amp; C</v>
      </c>
    </row>
    <row r="26" spans="1:56" x14ac:dyDescent="0.25">
      <c r="A26" s="12" t="s">
        <v>39</v>
      </c>
      <c r="B26" s="39" t="s">
        <v>38</v>
      </c>
      <c r="C26" s="3">
        <v>60345</v>
      </c>
      <c r="D26" s="30" t="s">
        <v>116</v>
      </c>
      <c r="E26" s="2">
        <v>0</v>
      </c>
      <c r="F26" s="36"/>
      <c r="G26" s="2">
        <v>0</v>
      </c>
      <c r="H26" s="36"/>
      <c r="I26" s="2">
        <v>0</v>
      </c>
      <c r="J26" s="36"/>
      <c r="K26" s="2">
        <v>0</v>
      </c>
      <c r="L26" s="36"/>
      <c r="M26" s="2">
        <v>0</v>
      </c>
      <c r="N26" s="36"/>
      <c r="O26" s="2">
        <v>0</v>
      </c>
      <c r="P26" s="36"/>
      <c r="Q26" s="2">
        <v>0</v>
      </c>
      <c r="R26" s="36"/>
      <c r="S26" s="2">
        <v>0</v>
      </c>
      <c r="T26" s="36"/>
      <c r="U26" s="2">
        <v>0</v>
      </c>
      <c r="V26" s="36"/>
      <c r="W26" s="2">
        <v>0</v>
      </c>
      <c r="X26" s="36"/>
      <c r="Y26" s="2">
        <v>0</v>
      </c>
      <c r="Z26" s="36"/>
      <c r="AA26" s="2">
        <v>0</v>
      </c>
      <c r="AB26" s="36"/>
      <c r="AC26" s="66"/>
      <c r="AD26" s="12" t="str">
        <f t="shared" si="0"/>
        <v>1305</v>
      </c>
      <c r="AE26" s="39" t="str">
        <f t="shared" si="1"/>
        <v>Director</v>
      </c>
      <c r="AF26" s="2">
        <f t="shared" si="10"/>
        <v>60345</v>
      </c>
      <c r="AG26" s="2"/>
      <c r="AH26" s="83">
        <f t="shared" si="2"/>
        <v>2.0001657138122464E-2</v>
      </c>
      <c r="AI26" s="2">
        <f t="shared" si="3"/>
        <v>61552</v>
      </c>
      <c r="AJ26" s="36" t="str">
        <f t="shared" si="4"/>
        <v>2.0% = Est. S &amp; C</v>
      </c>
      <c r="AK26" s="66"/>
      <c r="AL26" s="83">
        <f t="shared" si="5"/>
        <v>1.9999350142968546E-2</v>
      </c>
      <c r="AM26" s="2">
        <f>ROUND(AI26*(1+AM18),0)</f>
        <v>62783</v>
      </c>
      <c r="AN26" s="36" t="str">
        <f>TEXT(AM18,"0.0%")&amp;" = Est. S &amp; C"</f>
        <v>2.0% = Est. S &amp; C</v>
      </c>
      <c r="AP26" s="83">
        <f t="shared" si="6"/>
        <v>2.0005415478712391E-2</v>
      </c>
      <c r="AQ26" s="2">
        <f>ROUND(AM26*(1+AQ18),0)</f>
        <v>64039</v>
      </c>
      <c r="AR26" s="36" t="str">
        <f>TEXT(AQ18,"0.0%")&amp;" = Est. S &amp; C"</f>
        <v>2.0% = Est. S &amp; C</v>
      </c>
      <c r="AT26" s="83">
        <f t="shared" si="7"/>
        <v>2.0003435406549135E-2</v>
      </c>
      <c r="AU26" s="2">
        <f>ROUND(AQ26*(1+AU18),0)</f>
        <v>65320</v>
      </c>
      <c r="AV26" s="36" t="str">
        <f>TEXT(AU18,"0.0%")&amp;" = Est. S &amp; C"</f>
        <v>2.0% = Est. S &amp; C</v>
      </c>
      <c r="AX26" s="83">
        <f t="shared" si="8"/>
        <v>1.9993876301285976E-2</v>
      </c>
      <c r="AY26" s="2">
        <f>ROUND(AU26*(1+AY18),0)</f>
        <v>66626</v>
      </c>
      <c r="AZ26" s="36" t="str">
        <f>TEXT(AY18,"0.0%")&amp;" = Est. S &amp; C"</f>
        <v>2.0% = Est. S &amp; C</v>
      </c>
      <c r="BB26" s="83">
        <f t="shared" si="9"/>
        <v>2.0007204394680754E-2</v>
      </c>
      <c r="BC26" s="2">
        <f>ROUND(AY26*(1+BC18),0)</f>
        <v>67959</v>
      </c>
      <c r="BD26" s="36" t="str">
        <f>TEXT(BC18,"0.0%")&amp;" = Est. S &amp; C"</f>
        <v>2.0% = Est. S &amp; C</v>
      </c>
    </row>
    <row r="27" spans="1:56" x14ac:dyDescent="0.25">
      <c r="A27" s="12" t="s">
        <v>37</v>
      </c>
      <c r="B27" s="39" t="s">
        <v>36</v>
      </c>
      <c r="C27" s="25">
        <v>578217</v>
      </c>
      <c r="D27" s="50"/>
      <c r="E27" s="36">
        <v>0</v>
      </c>
      <c r="F27" s="36"/>
      <c r="G27" s="36">
        <v>0</v>
      </c>
      <c r="H27" s="36"/>
      <c r="I27" s="36">
        <v>0</v>
      </c>
      <c r="J27" s="36"/>
      <c r="K27" s="36">
        <v>0</v>
      </c>
      <c r="L27" s="36"/>
      <c r="M27" s="36">
        <v>0</v>
      </c>
      <c r="N27" s="36"/>
      <c r="O27" s="36">
        <v>0</v>
      </c>
      <c r="P27" s="36"/>
      <c r="Q27" s="36">
        <v>0</v>
      </c>
      <c r="R27" s="36"/>
      <c r="S27" s="36">
        <v>0</v>
      </c>
      <c r="T27" s="36"/>
      <c r="U27" s="36">
        <v>0</v>
      </c>
      <c r="V27" s="36"/>
      <c r="W27" s="36">
        <v>0</v>
      </c>
      <c r="X27" s="36"/>
      <c r="Y27" s="36">
        <v>0</v>
      </c>
      <c r="Z27" s="36"/>
      <c r="AA27" s="36">
        <v>0</v>
      </c>
      <c r="AB27" s="36"/>
      <c r="AC27" s="66"/>
      <c r="AD27" s="12" t="str">
        <f t="shared" si="0"/>
        <v>1901</v>
      </c>
      <c r="AE27" s="39" t="str">
        <f t="shared" si="1"/>
        <v>Inst. Coaches</v>
      </c>
      <c r="AF27" s="2">
        <f t="shared" si="10"/>
        <v>578217</v>
      </c>
      <c r="AG27" s="2"/>
      <c r="AH27" s="83">
        <f t="shared" si="2"/>
        <v>1.9999411985465666E-2</v>
      </c>
      <c r="AI27" s="2">
        <f t="shared" si="3"/>
        <v>589781</v>
      </c>
      <c r="AJ27" s="36" t="str">
        <f>TEXT($AI$18,"0.0%")&amp;" = Est. S &amp; C"</f>
        <v>2.0% = Est. S &amp; C</v>
      </c>
      <c r="AK27" s="66"/>
      <c r="AL27" s="83">
        <f t="shared" si="5"/>
        <v>2.0000644306954616E-2</v>
      </c>
      <c r="AM27" s="2">
        <f>ROUND(AI27*(1+AM18),0)</f>
        <v>601577</v>
      </c>
      <c r="AN27" s="36" t="str">
        <f>TEXT(AM18,"0.0%")&amp;" = Est. S &amp; C"</f>
        <v>2.0% = Est. S &amp; C</v>
      </c>
      <c r="AP27" s="83">
        <f t="shared" si="6"/>
        <v>2.0000764656893464E-2</v>
      </c>
      <c r="AQ27" s="2">
        <f>ROUND(AM27*(1+AQ18),0)</f>
        <v>613609</v>
      </c>
      <c r="AR27" s="36" t="str">
        <f>TEXT(AQ18,"0.0%")&amp;" = Est. S &amp; C"</f>
        <v>2.0% = Est. S &amp; C</v>
      </c>
      <c r="AT27" s="83">
        <f t="shared" si="7"/>
        <v>1.9999706653585591E-2</v>
      </c>
      <c r="AU27" s="2">
        <f>ROUND(AQ27*(1+AU18),0)</f>
        <v>625881</v>
      </c>
      <c r="AV27" s="36" t="str">
        <f>TEXT(AU18,"0.0%")&amp;" = Est. S &amp; C"</f>
        <v>2.0% = Est. S &amp; C</v>
      </c>
      <c r="AX27" s="83">
        <f t="shared" si="8"/>
        <v>2.0000607144169579E-2</v>
      </c>
      <c r="AY27" s="2">
        <f>ROUND(AU27*(1+AY18),0)</f>
        <v>638399</v>
      </c>
      <c r="AZ27" s="36" t="str">
        <f>TEXT(AY18,"0.0%")&amp;" = Est. S &amp; C"</f>
        <v>2.0% = Est. S &amp; C</v>
      </c>
      <c r="BB27" s="83">
        <f t="shared" si="9"/>
        <v>2.0000031328369874E-2</v>
      </c>
      <c r="BC27" s="2">
        <f>ROUND(AY27*(1+BC18),0)</f>
        <v>651167</v>
      </c>
      <c r="BD27" s="36" t="str">
        <f>TEXT(BC18,"0.0%")&amp;" = Est. S &amp; C"</f>
        <v>2.0% = Est. S &amp; C</v>
      </c>
    </row>
    <row r="28" spans="1:56" ht="6" customHeight="1" x14ac:dyDescent="0.25">
      <c r="A28" s="12"/>
      <c r="C28" s="25"/>
      <c r="D28" s="30"/>
      <c r="E28" s="36"/>
      <c r="F28" s="36"/>
      <c r="G28" s="36"/>
      <c r="H28" s="36"/>
      <c r="I28" s="36"/>
      <c r="J28" s="36"/>
      <c r="K28" s="36"/>
      <c r="L28" s="36"/>
      <c r="M28" s="36"/>
      <c r="N28" s="36"/>
      <c r="O28" s="36"/>
      <c r="P28" s="36"/>
      <c r="Q28" s="36"/>
      <c r="R28" s="36"/>
      <c r="S28" s="36"/>
      <c r="T28" s="36"/>
      <c r="U28" s="36"/>
      <c r="V28" s="36"/>
      <c r="W28" s="36"/>
      <c r="X28" s="36"/>
      <c r="Y28" s="36"/>
      <c r="Z28" s="36"/>
      <c r="AA28" s="36"/>
      <c r="AB28" s="36"/>
      <c r="AC28" s="66"/>
      <c r="AD28" s="12"/>
      <c r="AF28" s="2"/>
      <c r="AG28" s="2"/>
      <c r="AH28" s="83"/>
      <c r="AI28" s="2"/>
      <c r="AJ28" s="36"/>
      <c r="AK28" s="66"/>
      <c r="AM28" s="2"/>
      <c r="AN28" s="73"/>
      <c r="AQ28" s="2"/>
      <c r="AR28" s="73"/>
      <c r="AU28" s="2"/>
      <c r="AV28" s="73"/>
      <c r="AY28" s="2"/>
      <c r="AZ28" s="73"/>
      <c r="BC28" s="2"/>
      <c r="BD28" s="73"/>
    </row>
    <row r="29" spans="1:56" x14ac:dyDescent="0.25">
      <c r="A29" s="12"/>
      <c r="C29" s="8">
        <f>SUM(C21:C28)</f>
        <v>967375</v>
      </c>
      <c r="D29" s="33"/>
      <c r="E29" s="8">
        <f>SUM(E21:E28)</f>
        <v>16869</v>
      </c>
      <c r="F29" s="5"/>
      <c r="G29" s="8">
        <f>SUM(G21:G28)</f>
        <v>5175</v>
      </c>
      <c r="H29" s="5"/>
      <c r="I29" s="8">
        <f>SUM(I21:I28)</f>
        <v>20370</v>
      </c>
      <c r="J29" s="5"/>
      <c r="K29" s="8">
        <f>SUM(K21:K28)</f>
        <v>13329</v>
      </c>
      <c r="L29" s="5"/>
      <c r="M29" s="8">
        <f>SUM(M21:M28)</f>
        <v>12960</v>
      </c>
      <c r="N29" s="5"/>
      <c r="O29" s="8">
        <f>SUM(O21:O28)</f>
        <v>5807</v>
      </c>
      <c r="P29" s="5"/>
      <c r="Q29" s="8">
        <f>SUM(Q21:Q28)</f>
        <v>9510</v>
      </c>
      <c r="R29" s="5"/>
      <c r="S29" s="8">
        <f>SUM(S21:S28)</f>
        <v>14948</v>
      </c>
      <c r="T29" s="5"/>
      <c r="U29" s="8">
        <f>SUM(U21:U28)</f>
        <v>10885</v>
      </c>
      <c r="V29" s="5"/>
      <c r="W29" s="8">
        <f>SUM(W21:W28)</f>
        <v>8581</v>
      </c>
      <c r="X29" s="5"/>
      <c r="Y29" s="8">
        <f>SUM(Y21:Y28)</f>
        <v>14100</v>
      </c>
      <c r="Z29" s="5"/>
      <c r="AA29" s="8">
        <f>SUM(AA21:AA28)</f>
        <v>19794</v>
      </c>
      <c r="AB29" s="5"/>
      <c r="AC29" s="29"/>
      <c r="AD29" s="12"/>
      <c r="AF29" s="8">
        <f>SUM(AF21:AF28)</f>
        <v>1119703</v>
      </c>
      <c r="AG29" s="2"/>
      <c r="AH29" s="83">
        <f t="shared" si="2"/>
        <v>1.9999946414361664E-2</v>
      </c>
      <c r="AI29" s="8">
        <f>SUM(AI21:AI28)</f>
        <v>1142097</v>
      </c>
      <c r="AJ29" s="5"/>
      <c r="AK29" s="29"/>
      <c r="AL29" s="83">
        <f>IF(AI29=0,"0.00%",(AM29-AI29)/AI29)</f>
        <v>2.0000928117314028E-2</v>
      </c>
      <c r="AM29" s="8">
        <f>SUM(AM21:AM28)</f>
        <v>1164940</v>
      </c>
      <c r="AN29" s="73"/>
      <c r="AP29" s="83">
        <f>IF(AM29=0,"0.00%",(AQ29-AM29)/AM29)</f>
        <v>2.0000171682661768E-2</v>
      </c>
      <c r="AQ29" s="8">
        <f>SUM(AQ21:AQ28)</f>
        <v>1188239</v>
      </c>
      <c r="AR29" s="73"/>
      <c r="AT29" s="83">
        <f>IF(AQ29=0,"0.00%",(AU29-AQ29)/AQ29)</f>
        <v>1.9999343566403729E-2</v>
      </c>
      <c r="AU29" s="8">
        <f>SUM(AU21:AU28)</f>
        <v>1212003</v>
      </c>
      <c r="AV29" s="73"/>
      <c r="AX29" s="83">
        <f>IF(AU29=0,"0.00%",(AY29-AU29)/AU29)</f>
        <v>1.9999950495172041E-2</v>
      </c>
      <c r="AY29" s="8">
        <f>SUM(AY21:AY28)</f>
        <v>1236243</v>
      </c>
      <c r="AZ29" s="73"/>
      <c r="BB29" s="83">
        <f>IF(AY29=0,"0.00%",(BC29-AY29)/AY29)</f>
        <v>2.0000113246343963E-2</v>
      </c>
      <c r="BC29" s="8">
        <f>SUM(BC21:BC28)</f>
        <v>1260968</v>
      </c>
      <c r="BD29" s="73"/>
    </row>
    <row r="30" spans="1:56" x14ac:dyDescent="0.25">
      <c r="C30" s="3"/>
      <c r="D30" s="30"/>
      <c r="E30" s="2"/>
      <c r="F30" s="36"/>
      <c r="G30" s="2"/>
      <c r="H30" s="36"/>
      <c r="J30" s="36"/>
      <c r="K30" s="2"/>
      <c r="L30" s="36"/>
      <c r="M30" s="2"/>
      <c r="N30" s="36"/>
      <c r="O30" s="2"/>
      <c r="P30" s="36"/>
      <c r="Q30" s="2"/>
      <c r="R30" s="36"/>
      <c r="S30" s="2"/>
      <c r="T30" s="36"/>
      <c r="U30" s="2"/>
      <c r="V30" s="36"/>
      <c r="W30" s="2"/>
      <c r="X30" s="36"/>
      <c r="Y30" s="2"/>
      <c r="Z30" s="36"/>
      <c r="AA30" s="2"/>
      <c r="AB30" s="36"/>
      <c r="AC30" s="66"/>
      <c r="AF30" s="2"/>
      <c r="AG30" s="2"/>
      <c r="AI30" s="2"/>
      <c r="AJ30" s="36"/>
      <c r="AK30" s="66"/>
      <c r="AM30" s="2"/>
      <c r="AN30" s="73"/>
      <c r="AQ30" s="2"/>
      <c r="AR30" s="73"/>
      <c r="AU30" s="2"/>
      <c r="AV30" s="73"/>
      <c r="AY30" s="2"/>
      <c r="AZ30" s="73"/>
      <c r="BC30" s="2"/>
      <c r="BD30" s="73"/>
    </row>
    <row r="31" spans="1:56" s="4" customFormat="1" x14ac:dyDescent="0.25">
      <c r="A31" s="22" t="s">
        <v>35</v>
      </c>
      <c r="D31" s="7"/>
      <c r="AC31" s="58"/>
      <c r="AD31" s="22" t="str">
        <f t="shared" ref="AD31:AD38" si="11">A31</f>
        <v>Classified</v>
      </c>
      <c r="AF31" s="6"/>
      <c r="AG31" s="6"/>
      <c r="AH31" s="26"/>
      <c r="AI31" s="6"/>
      <c r="AJ31" s="6"/>
      <c r="AK31" s="57"/>
      <c r="AM31" s="6"/>
      <c r="AN31" s="71"/>
      <c r="AQ31" s="6"/>
      <c r="AR31" s="71"/>
      <c r="AU31" s="6"/>
      <c r="AV31" s="71"/>
      <c r="AY31" s="6"/>
      <c r="AZ31" s="71"/>
      <c r="BC31" s="6"/>
      <c r="BD31" s="71"/>
    </row>
    <row r="32" spans="1:56" x14ac:dyDescent="0.25">
      <c r="A32" s="12" t="s">
        <v>69</v>
      </c>
      <c r="B32" s="39" t="s">
        <v>70</v>
      </c>
      <c r="C32" s="3">
        <v>0</v>
      </c>
      <c r="D32" s="30"/>
      <c r="E32" s="2">
        <v>0</v>
      </c>
      <c r="F32" s="36"/>
      <c r="G32" s="2">
        <v>16243</v>
      </c>
      <c r="H32" s="36"/>
      <c r="I32" s="2">
        <v>28486</v>
      </c>
      <c r="J32" s="36"/>
      <c r="K32" s="2">
        <v>0</v>
      </c>
      <c r="L32" s="36"/>
      <c r="M32" s="2">
        <v>0</v>
      </c>
      <c r="N32" s="36"/>
      <c r="O32" s="2">
        <v>0</v>
      </c>
      <c r="P32" s="36"/>
      <c r="Q32" s="2">
        <v>0</v>
      </c>
      <c r="R32" s="36"/>
      <c r="S32" s="2">
        <v>25204</v>
      </c>
      <c r="T32" s="36"/>
      <c r="U32" s="2">
        <v>0</v>
      </c>
      <c r="V32" s="36"/>
      <c r="W32" s="2">
        <v>27270</v>
      </c>
      <c r="X32" s="36"/>
      <c r="Y32" s="2">
        <v>0</v>
      </c>
      <c r="Z32" s="36"/>
      <c r="AA32" s="2">
        <v>0</v>
      </c>
      <c r="AB32" s="36"/>
      <c r="AC32" s="66"/>
      <c r="AD32" s="12" t="str">
        <f t="shared" si="11"/>
        <v>2101</v>
      </c>
      <c r="AE32" s="39" t="str">
        <f t="shared" ref="AE32:AE38" si="12">B32</f>
        <v>Para Lrning Asstnt</v>
      </c>
      <c r="AF32" s="2">
        <f>SUM(C32,E32,G32,I32,K32,M32,O32,Q32,S32,U32,W32,Y32,AA32)</f>
        <v>97203</v>
      </c>
      <c r="AG32" s="2"/>
      <c r="AH32" s="83">
        <f t="shared" ref="AH32:AH38" si="13">IF(AF32=0,"0.00%",(AI32-AF32)/AF32)</f>
        <v>1.9999382735100768E-2</v>
      </c>
      <c r="AI32" s="2">
        <f t="shared" ref="AI32:AI38" si="14">ROUND(AF32*(1+$AI$18),0)</f>
        <v>99147</v>
      </c>
      <c r="AJ32" s="36" t="str">
        <f t="shared" ref="AJ32:AJ38" si="15">TEXT($AI$18,"0.0%")&amp;" = Est. S &amp; C"</f>
        <v>2.0% = Est. S &amp; C</v>
      </c>
      <c r="AK32" s="66"/>
      <c r="AL32" s="83">
        <f t="shared" ref="AL32:AL38" si="16">IF(AI32=0,"0.00%",(AM32-AI32)/AI32)</f>
        <v>2.0000605162032135E-2</v>
      </c>
      <c r="AM32" s="2">
        <f>ROUND(AI32*(1+AM18),0)</f>
        <v>101130</v>
      </c>
      <c r="AN32" s="36" t="str">
        <f>TEXT(AM18,"0.0%")&amp;" = Est. S &amp; C"</f>
        <v>2.0% = Est. S &amp; C</v>
      </c>
      <c r="AP32" s="83">
        <f t="shared" ref="AP32:AP38" si="17">IF(AM32=0,"0.00%",(AQ32-AM32)/AM32)</f>
        <v>2.0003955305052903E-2</v>
      </c>
      <c r="AQ32" s="2">
        <f>ROUND(AM32*(1+AQ18),0)</f>
        <v>103153</v>
      </c>
      <c r="AR32" s="36" t="str">
        <f>TEXT(AQ18,"0.0%")&amp;" = Est. S &amp; C"</f>
        <v>2.0% = Est. S &amp; C</v>
      </c>
      <c r="AT32" s="83">
        <f t="shared" ref="AT32:AT38" si="18">IF(AQ32=0,"0.00%",(AU32-AQ32)/AQ32)</f>
        <v>1.9999418339747752E-2</v>
      </c>
      <c r="AU32" s="2">
        <f>ROUND(AQ32*(1+AU18),0)</f>
        <v>105216</v>
      </c>
      <c r="AV32" s="36" t="str">
        <f>TEXT(AU18,"0.0%")&amp;" = Est. S &amp; C"</f>
        <v>2.0% = Est. S &amp; C</v>
      </c>
      <c r="AX32" s="83">
        <f t="shared" ref="AX32:AX38" si="19">IF(AU32=0,"0.00%",(AY32-AU32)/AU32)</f>
        <v>1.9996958637469586E-2</v>
      </c>
      <c r="AY32" s="2">
        <f>ROUND(AU32*(1+AY18),0)</f>
        <v>107320</v>
      </c>
      <c r="AZ32" s="36" t="str">
        <f>TEXT(AY18,"0.0%")&amp;" = Est. S &amp; C"</f>
        <v>2.0% = Est. S &amp; C</v>
      </c>
      <c r="BB32" s="83">
        <f t="shared" ref="BB32:BB38" si="20">IF(AY32=0,"0.00%",(BC32-AY32)/AY32)</f>
        <v>1.9996272828922846E-2</v>
      </c>
      <c r="BC32" s="2">
        <f>ROUND(AY32*(1+BC18),0)</f>
        <v>109466</v>
      </c>
      <c r="BD32" s="36" t="str">
        <f>TEXT(BC18,"0.0%")&amp;" = Est. S &amp; C"</f>
        <v>2.0% = Est. S &amp; C</v>
      </c>
    </row>
    <row r="33" spans="1:56" x14ac:dyDescent="0.25">
      <c r="A33" s="12" t="s">
        <v>34</v>
      </c>
      <c r="B33" s="39" t="s">
        <v>33</v>
      </c>
      <c r="C33" s="3">
        <v>0</v>
      </c>
      <c r="D33" s="30"/>
      <c r="E33" s="2">
        <v>0</v>
      </c>
      <c r="F33" s="36"/>
      <c r="G33" s="2">
        <v>0</v>
      </c>
      <c r="H33" s="36"/>
      <c r="I33" s="2">
        <v>0</v>
      </c>
      <c r="J33" s="36"/>
      <c r="K33" s="2">
        <v>0</v>
      </c>
      <c r="L33" s="36"/>
      <c r="M33" s="2">
        <v>0</v>
      </c>
      <c r="N33" s="36"/>
      <c r="O33" s="2">
        <v>0</v>
      </c>
      <c r="P33" s="36"/>
      <c r="Q33" s="2">
        <v>0</v>
      </c>
      <c r="R33" s="36"/>
      <c r="S33" s="2">
        <v>0</v>
      </c>
      <c r="T33" s="36"/>
      <c r="U33" s="2">
        <v>0</v>
      </c>
      <c r="V33" s="36"/>
      <c r="W33" s="2">
        <v>0</v>
      </c>
      <c r="X33" s="36"/>
      <c r="Y33" s="2">
        <v>0</v>
      </c>
      <c r="Z33" s="36"/>
      <c r="AA33" s="2">
        <v>0</v>
      </c>
      <c r="AB33" s="36"/>
      <c r="AC33" s="66"/>
      <c r="AD33" s="12" t="str">
        <f t="shared" si="11"/>
        <v>2273</v>
      </c>
      <c r="AE33" s="39" t="str">
        <f t="shared" si="12"/>
        <v>Extra Clss Support</v>
      </c>
      <c r="AF33" s="2">
        <f t="shared" ref="AF33:AF38" si="21">SUM(C33,E33,G33,I33,K33,M33,O33,Q33,S33,U33,W33,Y33,AA33)</f>
        <v>0</v>
      </c>
      <c r="AG33" s="2"/>
      <c r="AH33" s="83" t="str">
        <f t="shared" si="13"/>
        <v>0.00%</v>
      </c>
      <c r="AI33" s="2">
        <f t="shared" si="14"/>
        <v>0</v>
      </c>
      <c r="AJ33" s="36" t="str">
        <f t="shared" si="15"/>
        <v>2.0% = Est. S &amp; C</v>
      </c>
      <c r="AK33" s="66"/>
      <c r="AL33" s="83" t="str">
        <f t="shared" si="16"/>
        <v>0.00%</v>
      </c>
      <c r="AM33" s="2">
        <f>ROUND(AI33*(1+AM18),0)</f>
        <v>0</v>
      </c>
      <c r="AN33" s="36" t="str">
        <f>TEXT(AM18,"0.0%")&amp;" = Est. S &amp; C"</f>
        <v>2.0% = Est. S &amp; C</v>
      </c>
      <c r="AP33" s="83" t="str">
        <f t="shared" si="17"/>
        <v>0.00%</v>
      </c>
      <c r="AQ33" s="2">
        <f>ROUND(AM33*(1+AQ18),0)</f>
        <v>0</v>
      </c>
      <c r="AR33" s="36" t="str">
        <f>TEXT(AQ18,"0.0%")&amp;" = Est. S &amp; C"</f>
        <v>2.0% = Est. S &amp; C</v>
      </c>
      <c r="AT33" s="83" t="str">
        <f t="shared" si="18"/>
        <v>0.00%</v>
      </c>
      <c r="AU33" s="2">
        <f>ROUND(AQ33*(1+AU18),0)</f>
        <v>0</v>
      </c>
      <c r="AV33" s="36" t="str">
        <f>TEXT(AU18,"0.0%")&amp;" = Est. S &amp; C"</f>
        <v>2.0% = Est. S &amp; C</v>
      </c>
      <c r="AX33" s="83" t="str">
        <f t="shared" si="19"/>
        <v>0.00%</v>
      </c>
      <c r="AY33" s="2">
        <f>ROUND(AU33*(1+AY18),0)</f>
        <v>0</v>
      </c>
      <c r="AZ33" s="36" t="str">
        <f>TEXT(AY18,"0.0%")&amp;" = Est. S &amp; C"</f>
        <v>2.0% = Est. S &amp; C</v>
      </c>
      <c r="BB33" s="83" t="str">
        <f t="shared" si="20"/>
        <v>0.00%</v>
      </c>
      <c r="BC33" s="2">
        <f>ROUND(AY33*(1+BC18),0)</f>
        <v>0</v>
      </c>
      <c r="BD33" s="36" t="str">
        <f>TEXT(BC18,"0.0%")&amp;" = Est. S &amp; C"</f>
        <v>2.0% = Est. S &amp; C</v>
      </c>
    </row>
    <row r="34" spans="1:56" x14ac:dyDescent="0.25">
      <c r="A34" s="12" t="s">
        <v>32</v>
      </c>
      <c r="B34" s="39" t="s">
        <v>31</v>
      </c>
      <c r="C34" s="3">
        <v>18222</v>
      </c>
      <c r="D34" s="30" t="s">
        <v>115</v>
      </c>
      <c r="E34" s="2">
        <v>0</v>
      </c>
      <c r="F34" s="36"/>
      <c r="G34" s="2">
        <v>0</v>
      </c>
      <c r="H34" s="36"/>
      <c r="I34" s="2">
        <v>0</v>
      </c>
      <c r="J34" s="36"/>
      <c r="K34" s="2">
        <v>0</v>
      </c>
      <c r="L34" s="36"/>
      <c r="M34" s="2">
        <v>0</v>
      </c>
      <c r="N34" s="36"/>
      <c r="O34" s="2">
        <v>0</v>
      </c>
      <c r="P34" s="36"/>
      <c r="Q34" s="2">
        <v>0</v>
      </c>
      <c r="R34" s="36"/>
      <c r="S34" s="2">
        <v>0</v>
      </c>
      <c r="T34" s="36"/>
      <c r="U34" s="2">
        <v>0</v>
      </c>
      <c r="V34" s="36"/>
      <c r="W34" s="2">
        <v>0</v>
      </c>
      <c r="X34" s="36"/>
      <c r="Y34" s="2">
        <v>0</v>
      </c>
      <c r="Z34" s="36"/>
      <c r="AA34" s="2">
        <v>0</v>
      </c>
      <c r="AB34" s="36"/>
      <c r="AC34" s="66"/>
      <c r="AD34" s="12" t="str">
        <f t="shared" si="11"/>
        <v>2404</v>
      </c>
      <c r="AE34" s="39" t="str">
        <f t="shared" si="12"/>
        <v>Secretary</v>
      </c>
      <c r="AF34" s="2">
        <f t="shared" si="21"/>
        <v>18222</v>
      </c>
      <c r="AG34" s="2"/>
      <c r="AH34" s="83">
        <f t="shared" si="13"/>
        <v>1.9975853364065415E-2</v>
      </c>
      <c r="AI34" s="2">
        <f t="shared" si="14"/>
        <v>18586</v>
      </c>
      <c r="AJ34" s="36" t="str">
        <f t="shared" si="15"/>
        <v>2.0% = Est. S &amp; C</v>
      </c>
      <c r="AK34" s="66"/>
      <c r="AL34" s="83">
        <f t="shared" si="16"/>
        <v>2.0015065102765524E-2</v>
      </c>
      <c r="AM34" s="2">
        <f>ROUND(AI34*(1+AM18),0)</f>
        <v>18958</v>
      </c>
      <c r="AN34" s="36" t="str">
        <f>TEXT(AM18,"0.0%")&amp;" = Est. S &amp; C"</f>
        <v>2.0% = Est. S &amp; C</v>
      </c>
      <c r="AP34" s="83">
        <f t="shared" si="17"/>
        <v>1.9991560291169955E-2</v>
      </c>
      <c r="AQ34" s="2">
        <f>ROUND(AM34*(1+AQ18),0)</f>
        <v>19337</v>
      </c>
      <c r="AR34" s="36" t="str">
        <f>TEXT(AQ18,"0.0%")&amp;" = Est. S &amp; C"</f>
        <v>2.0% = Est. S &amp; C</v>
      </c>
      <c r="AT34" s="83">
        <f t="shared" si="18"/>
        <v>2.0013445725810621E-2</v>
      </c>
      <c r="AU34" s="2">
        <f>ROUND(AQ34*(1+AU18),0)</f>
        <v>19724</v>
      </c>
      <c r="AV34" s="36" t="str">
        <f>TEXT(AU18,"0.0%")&amp;" = Est. S &amp; C"</f>
        <v>2.0% = Est. S &amp; C</v>
      </c>
      <c r="AX34" s="83">
        <f t="shared" si="19"/>
        <v>1.9975664165483676E-2</v>
      </c>
      <c r="AY34" s="2">
        <f>ROUND(AU34*(1+AY18),0)</f>
        <v>20118</v>
      </c>
      <c r="AZ34" s="36" t="str">
        <f>TEXT(AY18,"0.0%")&amp;" = Est. S &amp; C"</f>
        <v>2.0% = Est. S &amp; C</v>
      </c>
      <c r="BB34" s="83">
        <f t="shared" si="20"/>
        <v>1.9982105577095139E-2</v>
      </c>
      <c r="BC34" s="2">
        <f>ROUND(AY34*(1+BC18),0)</f>
        <v>20520</v>
      </c>
      <c r="BD34" s="36" t="str">
        <f>TEXT(BC18,"0.0%")&amp;" = Est. S &amp; C"</f>
        <v>2.0% = Est. S &amp; C</v>
      </c>
    </row>
    <row r="35" spans="1:56" x14ac:dyDescent="0.25">
      <c r="A35" s="12" t="s">
        <v>30</v>
      </c>
      <c r="B35" s="39" t="s">
        <v>29</v>
      </c>
      <c r="C35" s="3">
        <v>1236</v>
      </c>
      <c r="D35" s="30"/>
      <c r="E35" s="2">
        <v>0</v>
      </c>
      <c r="F35" s="36"/>
      <c r="G35" s="2">
        <v>0</v>
      </c>
      <c r="H35" s="36"/>
      <c r="I35" s="2">
        <v>0</v>
      </c>
      <c r="J35" s="36"/>
      <c r="K35" s="2">
        <v>102</v>
      </c>
      <c r="L35" s="36"/>
      <c r="M35" s="2">
        <v>0</v>
      </c>
      <c r="N35" s="36"/>
      <c r="O35" s="2">
        <v>0</v>
      </c>
      <c r="P35" s="36"/>
      <c r="Q35" s="2">
        <v>0</v>
      </c>
      <c r="R35" s="36"/>
      <c r="S35" s="2">
        <v>0</v>
      </c>
      <c r="T35" s="36"/>
      <c r="U35" s="2">
        <v>0</v>
      </c>
      <c r="V35" s="36"/>
      <c r="W35" s="2">
        <v>0</v>
      </c>
      <c r="X35" s="36"/>
      <c r="Y35" s="2">
        <v>0</v>
      </c>
      <c r="Z35" s="36"/>
      <c r="AA35" s="2">
        <v>0</v>
      </c>
      <c r="AB35" s="36"/>
      <c r="AC35" s="66"/>
      <c r="AD35" s="12" t="str">
        <f t="shared" si="11"/>
        <v>2481</v>
      </c>
      <c r="AE35" s="39" t="str">
        <f t="shared" si="12"/>
        <v>Sub. Office</v>
      </c>
      <c r="AF35" s="2">
        <f t="shared" si="21"/>
        <v>1338</v>
      </c>
      <c r="AG35" s="2"/>
      <c r="AH35" s="83">
        <f t="shared" si="13"/>
        <v>2.0179372197309416E-2</v>
      </c>
      <c r="AI35" s="2">
        <f t="shared" si="14"/>
        <v>1365</v>
      </c>
      <c r="AJ35" s="36" t="str">
        <f t="shared" si="15"/>
        <v>2.0% = Est. S &amp; C</v>
      </c>
      <c r="AK35" s="66"/>
      <c r="AL35" s="83">
        <f t="shared" si="16"/>
        <v>1.9780219780219779E-2</v>
      </c>
      <c r="AM35" s="2">
        <f>ROUND(AI35*(1+AM18),0)</f>
        <v>1392</v>
      </c>
      <c r="AN35" s="36" t="str">
        <f>TEXT(AM18,"0.0%")&amp;" = Est. S &amp; C"</f>
        <v>2.0% = Est. S &amp; C</v>
      </c>
      <c r="AP35" s="83">
        <f t="shared" si="17"/>
        <v>2.0114942528735632E-2</v>
      </c>
      <c r="AQ35" s="2">
        <f>ROUND(AM35*(1+AQ18),0)</f>
        <v>1420</v>
      </c>
      <c r="AR35" s="36" t="str">
        <f>TEXT(AQ18,"0.0%")&amp;" = Est. S &amp; C"</f>
        <v>2.0% = Est. S &amp; C</v>
      </c>
      <c r="AT35" s="83">
        <f t="shared" si="18"/>
        <v>1.9718309859154931E-2</v>
      </c>
      <c r="AU35" s="2">
        <f>ROUND(AQ35*(1+AU18),0)</f>
        <v>1448</v>
      </c>
      <c r="AV35" s="36" t="str">
        <f>TEXT(AU18,"0.0%")&amp;" = Est. S &amp; C"</f>
        <v>2.0% = Est. S &amp; C</v>
      </c>
      <c r="AX35" s="83">
        <f t="shared" si="19"/>
        <v>2.0027624309392266E-2</v>
      </c>
      <c r="AY35" s="2">
        <f>ROUND(AU35*(1+AY18),0)</f>
        <v>1477</v>
      </c>
      <c r="AZ35" s="36" t="str">
        <f>TEXT(AY18,"0.0%")&amp;" = Est. S &amp; C"</f>
        <v>2.0% = Est. S &amp; C</v>
      </c>
      <c r="BB35" s="83">
        <f t="shared" si="20"/>
        <v>2.0311442112389978E-2</v>
      </c>
      <c r="BC35" s="2">
        <f>ROUND(AY35*(1+BC18),0)</f>
        <v>1507</v>
      </c>
      <c r="BD35" s="36" t="str">
        <f>TEXT(BC18,"0.0%")&amp;" = Est. S &amp; C"</f>
        <v>2.0% = Est. S &amp; C</v>
      </c>
    </row>
    <row r="36" spans="1:56" x14ac:dyDescent="0.25">
      <c r="A36" s="12" t="s">
        <v>72</v>
      </c>
      <c r="B36" s="39" t="s">
        <v>71</v>
      </c>
      <c r="C36" s="3">
        <v>0</v>
      </c>
      <c r="D36" s="30"/>
      <c r="E36" s="2">
        <v>0</v>
      </c>
      <c r="F36" s="36"/>
      <c r="G36" s="2">
        <v>0</v>
      </c>
      <c r="H36" s="36"/>
      <c r="I36" s="2">
        <v>0</v>
      </c>
      <c r="J36" s="36"/>
      <c r="K36" s="2">
        <v>0</v>
      </c>
      <c r="L36" s="36"/>
      <c r="M36" s="2">
        <v>0</v>
      </c>
      <c r="N36" s="36"/>
      <c r="O36" s="2">
        <v>370</v>
      </c>
      <c r="P36" s="36"/>
      <c r="Q36" s="2">
        <v>407</v>
      </c>
      <c r="R36" s="36"/>
      <c r="S36" s="2">
        <v>0</v>
      </c>
      <c r="T36" s="36"/>
      <c r="U36" s="2">
        <v>167</v>
      </c>
      <c r="V36" s="36"/>
      <c r="W36" s="2">
        <v>370</v>
      </c>
      <c r="X36" s="36"/>
      <c r="Y36" s="2">
        <v>0</v>
      </c>
      <c r="Z36" s="36"/>
      <c r="AA36" s="2">
        <v>556</v>
      </c>
      <c r="AB36" s="36"/>
      <c r="AC36" s="66"/>
      <c r="AD36" s="12" t="str">
        <f t="shared" si="11"/>
        <v>2901</v>
      </c>
      <c r="AE36" s="39" t="str">
        <f t="shared" si="12"/>
        <v>Babysitter</v>
      </c>
      <c r="AF36" s="2">
        <f t="shared" si="21"/>
        <v>1870</v>
      </c>
      <c r="AG36" s="2"/>
      <c r="AH36" s="83">
        <f t="shared" si="13"/>
        <v>1.9786096256684493E-2</v>
      </c>
      <c r="AI36" s="2">
        <f t="shared" si="14"/>
        <v>1907</v>
      </c>
      <c r="AJ36" s="36" t="str">
        <f t="shared" si="15"/>
        <v>2.0% = Est. S &amp; C</v>
      </c>
      <c r="AK36" s="66"/>
      <c r="AL36" s="83">
        <f t="shared" si="16"/>
        <v>1.9926586261143155E-2</v>
      </c>
      <c r="AM36" s="2">
        <f>ROUND(AI36*(1+AM18),0)</f>
        <v>1945</v>
      </c>
      <c r="AN36" s="36" t="str">
        <f>TEXT(AM18,"0.0%")&amp;" = Est. S &amp; C"</f>
        <v>2.0% = Est. S &amp; C</v>
      </c>
      <c r="AP36" s="83">
        <f t="shared" si="17"/>
        <v>2.0051413881748071E-2</v>
      </c>
      <c r="AQ36" s="2">
        <f>ROUND(AM36*(1+AQ18),0)</f>
        <v>1984</v>
      </c>
      <c r="AR36" s="36" t="str">
        <f>TEXT(AQ18,"0.0%")&amp;" = Est. S &amp; C"</f>
        <v>2.0% = Est. S &amp; C</v>
      </c>
      <c r="AT36" s="83">
        <f t="shared" si="18"/>
        <v>2.0161290322580645E-2</v>
      </c>
      <c r="AU36" s="2">
        <f>ROUND(AQ36*(1+AU18),0)</f>
        <v>2024</v>
      </c>
      <c r="AV36" s="36" t="str">
        <f>TEXT(AU18,"0.0%")&amp;" = Est. S &amp; C"</f>
        <v>2.0% = Est. S &amp; C</v>
      </c>
      <c r="AX36" s="83">
        <f t="shared" si="19"/>
        <v>1.9762845849802372E-2</v>
      </c>
      <c r="AY36" s="2">
        <f>ROUND(AU36*(1+AY18),0)</f>
        <v>2064</v>
      </c>
      <c r="AZ36" s="36" t="str">
        <f>TEXT(AY18,"0.0%")&amp;" = Est. S &amp; C"</f>
        <v>2.0% = Est. S &amp; C</v>
      </c>
      <c r="BB36" s="83">
        <f t="shared" si="20"/>
        <v>1.9864341085271318E-2</v>
      </c>
      <c r="BC36" s="2">
        <f>ROUND(AY36*(1+BC18),0)</f>
        <v>2105</v>
      </c>
      <c r="BD36" s="36" t="str">
        <f>TEXT(BC18,"0.0%")&amp;" = Est. S &amp; C"</f>
        <v>2.0% = Est. S &amp; C</v>
      </c>
    </row>
    <row r="37" spans="1:56" x14ac:dyDescent="0.25">
      <c r="A37" s="12" t="s">
        <v>114</v>
      </c>
      <c r="B37" s="39" t="s">
        <v>117</v>
      </c>
      <c r="C37" s="3">
        <v>0</v>
      </c>
      <c r="D37" s="30"/>
      <c r="E37" s="2">
        <v>406</v>
      </c>
      <c r="F37" s="36"/>
      <c r="G37" s="2">
        <v>304</v>
      </c>
      <c r="H37" s="36"/>
      <c r="I37" s="2">
        <v>85</v>
      </c>
      <c r="J37" s="36"/>
      <c r="K37" s="2">
        <v>406</v>
      </c>
      <c r="L37" s="36"/>
      <c r="M37" s="2">
        <v>1388</v>
      </c>
      <c r="N37" s="36"/>
      <c r="O37" s="2">
        <v>1693</v>
      </c>
      <c r="P37" s="36"/>
      <c r="Q37" s="2">
        <v>814</v>
      </c>
      <c r="R37" s="36"/>
      <c r="S37" s="2">
        <v>169</v>
      </c>
      <c r="T37" s="36"/>
      <c r="U37" s="2">
        <v>339</v>
      </c>
      <c r="V37" s="36"/>
      <c r="W37" s="2">
        <v>337</v>
      </c>
      <c r="X37" s="36"/>
      <c r="Y37" s="2">
        <v>237</v>
      </c>
      <c r="Z37" s="36"/>
      <c r="AA37" s="2">
        <v>4233</v>
      </c>
      <c r="AB37" s="36"/>
      <c r="AC37" s="66"/>
      <c r="AD37" s="12" t="str">
        <f t="shared" si="11"/>
        <v>2910</v>
      </c>
      <c r="AE37" s="39" t="str">
        <f t="shared" si="12"/>
        <v>Interpreters</v>
      </c>
      <c r="AF37" s="2">
        <f t="shared" si="21"/>
        <v>10411</v>
      </c>
      <c r="AG37" s="2"/>
      <c r="AH37" s="83">
        <f t="shared" si="13"/>
        <v>1.9978868504466431E-2</v>
      </c>
      <c r="AI37" s="2">
        <f t="shared" si="14"/>
        <v>10619</v>
      </c>
      <c r="AJ37" s="36" t="str">
        <f t="shared" si="15"/>
        <v>2.0% = Est. S &amp; C</v>
      </c>
      <c r="AK37" s="66"/>
      <c r="AL37" s="83">
        <f t="shared" si="16"/>
        <v>1.9964215086166307E-2</v>
      </c>
      <c r="AM37" s="2">
        <f>ROUND(AI37*(1+AM18),0)</f>
        <v>10831</v>
      </c>
      <c r="AN37" s="36" t="str">
        <f>TEXT(AM18,"0.0%")&amp;" = Est. S &amp; C"</f>
        <v>2.0% = Est. S &amp; C</v>
      </c>
      <c r="AP37" s="83">
        <f t="shared" si="17"/>
        <v>2.0035084479734098E-2</v>
      </c>
      <c r="AQ37" s="2">
        <f>ROUND(AM37*(1+AQ18),0)</f>
        <v>11048</v>
      </c>
      <c r="AR37" s="36" t="str">
        <f>TEXT(AQ18,"0.0%")&amp;" = Est. S &amp; C"</f>
        <v>2.0% = Est. S &amp; C</v>
      </c>
      <c r="AT37" s="83">
        <f t="shared" si="18"/>
        <v>2.000362056480811E-2</v>
      </c>
      <c r="AU37" s="2">
        <f>ROUND(AQ37*(1+AU18),0)</f>
        <v>11269</v>
      </c>
      <c r="AV37" s="36" t="str">
        <f>TEXT(AU18,"0.0%")&amp;" = Est. S &amp; C"</f>
        <v>2.0% = Est. S &amp; C</v>
      </c>
      <c r="AX37" s="83">
        <f t="shared" si="19"/>
        <v>1.9966279172952347E-2</v>
      </c>
      <c r="AY37" s="2">
        <f>ROUND(AU37*(1+AY18),0)</f>
        <v>11494</v>
      </c>
      <c r="AZ37" s="36" t="str">
        <f>TEXT(AY18,"0.0%")&amp;" = Est. S &amp; C"</f>
        <v>2.0% = Est. S &amp; C</v>
      </c>
      <c r="BB37" s="83">
        <f t="shared" si="20"/>
        <v>2.0010440229685053E-2</v>
      </c>
      <c r="BC37" s="2">
        <f>ROUND(AY37*(1+BC18),0)</f>
        <v>11724</v>
      </c>
      <c r="BD37" s="36" t="str">
        <f>TEXT(BC18,"0.0%")&amp;" = Est. S &amp; C"</f>
        <v>2.0% = Est. S &amp; C</v>
      </c>
    </row>
    <row r="38" spans="1:56" x14ac:dyDescent="0.25">
      <c r="A38" s="12" t="s">
        <v>73</v>
      </c>
      <c r="B38" s="39" t="s">
        <v>74</v>
      </c>
      <c r="C38" s="3">
        <v>0</v>
      </c>
      <c r="D38" s="30"/>
      <c r="E38" s="2">
        <v>0</v>
      </c>
      <c r="F38" s="36"/>
      <c r="G38" s="2">
        <v>0</v>
      </c>
      <c r="H38" s="36"/>
      <c r="I38" s="2">
        <v>0</v>
      </c>
      <c r="J38" s="36"/>
      <c r="K38" s="2">
        <v>0</v>
      </c>
      <c r="L38" s="36"/>
      <c r="M38" s="2">
        <v>0</v>
      </c>
      <c r="N38" s="36"/>
      <c r="O38" s="2">
        <v>0</v>
      </c>
      <c r="P38" s="36"/>
      <c r="Q38" s="2">
        <v>0</v>
      </c>
      <c r="R38" s="36"/>
      <c r="S38" s="2">
        <v>0</v>
      </c>
      <c r="T38" s="36"/>
      <c r="U38" s="2">
        <v>0</v>
      </c>
      <c r="V38" s="36"/>
      <c r="W38" s="2">
        <v>0</v>
      </c>
      <c r="X38" s="36"/>
      <c r="Y38" s="2">
        <v>0</v>
      </c>
      <c r="Z38" s="36"/>
      <c r="AA38" s="2">
        <v>440</v>
      </c>
      <c r="AB38" s="36"/>
      <c r="AC38" s="66"/>
      <c r="AD38" s="12" t="str">
        <f t="shared" si="11"/>
        <v>2924</v>
      </c>
      <c r="AE38" s="39" t="str">
        <f t="shared" si="12"/>
        <v>Parent Ed. Aide</v>
      </c>
      <c r="AF38" s="2">
        <f t="shared" si="21"/>
        <v>440</v>
      </c>
      <c r="AG38" s="2"/>
      <c r="AH38" s="83">
        <f t="shared" si="13"/>
        <v>2.0454545454545454E-2</v>
      </c>
      <c r="AI38" s="2">
        <f t="shared" si="14"/>
        <v>449</v>
      </c>
      <c r="AJ38" s="36" t="str">
        <f t="shared" si="15"/>
        <v>2.0% = Est. S &amp; C</v>
      </c>
      <c r="AK38" s="66"/>
      <c r="AL38" s="83">
        <f t="shared" si="16"/>
        <v>2.0044543429844099E-2</v>
      </c>
      <c r="AM38" s="2">
        <f>ROUND(AI38*(1+AM18),0)</f>
        <v>458</v>
      </c>
      <c r="AN38" s="36" t="str">
        <f>TEXT(AM18,"0.0%")&amp;" = Est. S &amp; C"</f>
        <v>2.0% = Est. S &amp; C</v>
      </c>
      <c r="AP38" s="83">
        <f t="shared" si="17"/>
        <v>1.9650655021834062E-2</v>
      </c>
      <c r="AQ38" s="2">
        <f>ROUND(AM38*(1+AQ18),0)</f>
        <v>467</v>
      </c>
      <c r="AR38" s="36" t="str">
        <f>TEXT(AQ18,"0.0%")&amp;" = Est. S &amp; C"</f>
        <v>2.0% = Est. S &amp; C</v>
      </c>
      <c r="AT38" s="83">
        <f t="shared" si="18"/>
        <v>1.9271948608137045E-2</v>
      </c>
      <c r="AU38" s="2">
        <f>ROUND(AQ38*(1+AU18),0)</f>
        <v>476</v>
      </c>
      <c r="AV38" s="36" t="str">
        <f>TEXT(AU18,"0.0%")&amp;" = Est. S &amp; C"</f>
        <v>2.0% = Est. S &amp; C</v>
      </c>
      <c r="AX38" s="83">
        <f t="shared" si="19"/>
        <v>2.100840336134454E-2</v>
      </c>
      <c r="AY38" s="2">
        <f>ROUND(AU38*(1+AY18),0)</f>
        <v>486</v>
      </c>
      <c r="AZ38" s="36" t="str">
        <f>TEXT(AY18,"0.0%")&amp;" = Est. S &amp; C"</f>
        <v>2.0% = Est. S &amp; C</v>
      </c>
      <c r="BB38" s="83">
        <f t="shared" si="20"/>
        <v>2.0576131687242798E-2</v>
      </c>
      <c r="BC38" s="2">
        <f>ROUND(AY38*(1+BC18),0)</f>
        <v>496</v>
      </c>
      <c r="BD38" s="36" t="str">
        <f>TEXT(BC18,"0.0%")&amp;" = Est. S &amp; C"</f>
        <v>2.0% = Est. S &amp; C</v>
      </c>
    </row>
    <row r="39" spans="1:56" ht="6" customHeight="1" x14ac:dyDescent="0.25">
      <c r="A39" s="12"/>
      <c r="C39" s="3"/>
      <c r="D39" s="30"/>
      <c r="E39" s="2"/>
      <c r="F39" s="36"/>
      <c r="G39" s="2"/>
      <c r="H39" s="36"/>
      <c r="J39" s="36"/>
      <c r="K39" s="2"/>
      <c r="L39" s="36"/>
      <c r="M39" s="2"/>
      <c r="N39" s="36"/>
      <c r="O39" s="2"/>
      <c r="P39" s="36"/>
      <c r="Q39" s="2"/>
      <c r="R39" s="36"/>
      <c r="S39" s="2"/>
      <c r="T39" s="36"/>
      <c r="U39" s="2"/>
      <c r="V39" s="36"/>
      <c r="W39" s="2"/>
      <c r="X39" s="36"/>
      <c r="Y39" s="2"/>
      <c r="Z39" s="36"/>
      <c r="AA39" s="2"/>
      <c r="AB39" s="36"/>
      <c r="AC39" s="66"/>
      <c r="AD39" s="12"/>
      <c r="AF39" s="2"/>
      <c r="AG39" s="2"/>
      <c r="AI39" s="2"/>
      <c r="AJ39" s="36"/>
      <c r="AK39" s="66"/>
      <c r="AM39" s="2"/>
      <c r="AN39" s="73"/>
      <c r="AQ39" s="2"/>
      <c r="AR39" s="73"/>
      <c r="AU39" s="2"/>
      <c r="AV39" s="73"/>
      <c r="AY39" s="2"/>
      <c r="AZ39" s="73"/>
      <c r="BC39" s="2"/>
      <c r="BD39" s="73"/>
    </row>
    <row r="40" spans="1:56" x14ac:dyDescent="0.25">
      <c r="A40" s="12"/>
      <c r="C40" s="8">
        <f>SUM(C32:C39)</f>
        <v>19458</v>
      </c>
      <c r="D40" s="33"/>
      <c r="E40" s="8">
        <f>SUM(E32:E39)</f>
        <v>406</v>
      </c>
      <c r="F40" s="5"/>
      <c r="G40" s="8">
        <f>SUM(G32:G39)</f>
        <v>16547</v>
      </c>
      <c r="H40" s="5"/>
      <c r="I40" s="8">
        <f>SUM(I32:I39)</f>
        <v>28571</v>
      </c>
      <c r="J40" s="5"/>
      <c r="K40" s="8">
        <f>SUM(K32:K39)</f>
        <v>508</v>
      </c>
      <c r="L40" s="5"/>
      <c r="M40" s="8">
        <f>SUM(M32:M39)</f>
        <v>1388</v>
      </c>
      <c r="N40" s="5"/>
      <c r="O40" s="8">
        <f>SUM(O32:O39)</f>
        <v>2063</v>
      </c>
      <c r="P40" s="5"/>
      <c r="Q40" s="8">
        <f>SUM(Q32:Q39)</f>
        <v>1221</v>
      </c>
      <c r="R40" s="5"/>
      <c r="S40" s="8">
        <f>SUM(S32:S39)</f>
        <v>25373</v>
      </c>
      <c r="T40" s="5"/>
      <c r="U40" s="8">
        <f>SUM(U32:U39)</f>
        <v>506</v>
      </c>
      <c r="V40" s="5"/>
      <c r="W40" s="8">
        <f>SUM(W32:W39)</f>
        <v>27977</v>
      </c>
      <c r="X40" s="5"/>
      <c r="Y40" s="8">
        <f>SUM(Y32:Y39)</f>
        <v>237</v>
      </c>
      <c r="Z40" s="5"/>
      <c r="AA40" s="8">
        <f>SUM(AA32:AA39)</f>
        <v>5229</v>
      </c>
      <c r="AB40" s="5"/>
      <c r="AC40" s="29"/>
      <c r="AD40" s="12"/>
      <c r="AF40" s="8">
        <f>SUM(AF32:AF39)</f>
        <v>129484</v>
      </c>
      <c r="AG40" s="2"/>
      <c r="AH40" s="83">
        <f>IF(AF40=0,"0.00%",(AI40-AF40)/AF40)</f>
        <v>1.999474838590096E-2</v>
      </c>
      <c r="AI40" s="8">
        <f>SUM(AI32:AI39)</f>
        <v>132073</v>
      </c>
      <c r="AJ40" s="5"/>
      <c r="AK40" s="29"/>
      <c r="AL40" s="83">
        <f>IF(AI40=0,"0.00%",(AM40-AI40)/AI40)</f>
        <v>1.9996517077676738E-2</v>
      </c>
      <c r="AM40" s="8">
        <f>SUM(AM32:AM39)</f>
        <v>134714</v>
      </c>
      <c r="AN40" s="73"/>
      <c r="AP40" s="83">
        <f>IF(AM40=0,"0.00%",(AQ40-AM40)/AM40)</f>
        <v>2.0005344656086228E-2</v>
      </c>
      <c r="AQ40" s="8">
        <f>SUM(AQ32:AQ39)</f>
        <v>137409</v>
      </c>
      <c r="AR40" s="73"/>
      <c r="AT40" s="83">
        <f>IF(AQ40=0,"0.00%",(AU40-AQ40)/AQ40)</f>
        <v>1.9998690042136977E-2</v>
      </c>
      <c r="AU40" s="8">
        <f>SUM(AU32:AU39)</f>
        <v>140157</v>
      </c>
      <c r="AV40" s="73"/>
      <c r="AX40" s="83">
        <f>IF(AU40=0,"0.00%",(AY40-AU40)/AU40)</f>
        <v>1.9991866264260794E-2</v>
      </c>
      <c r="AY40" s="8">
        <f>SUM(AY32:AY39)</f>
        <v>142959</v>
      </c>
      <c r="AZ40" s="73"/>
      <c r="BB40" s="83">
        <f>IF(AY40=0,"0.00%",(BC40-AY40)/AY40)</f>
        <v>1.9998740897739911E-2</v>
      </c>
      <c r="BC40" s="8">
        <f>SUM(BC32:BC39)</f>
        <v>145818</v>
      </c>
      <c r="BD40" s="73"/>
    </row>
    <row r="41" spans="1:56" x14ac:dyDescent="0.25">
      <c r="A41" s="20" t="s">
        <v>28</v>
      </c>
      <c r="C41" s="3"/>
      <c r="D41" s="30"/>
      <c r="E41" s="2"/>
      <c r="F41" s="36"/>
      <c r="G41" s="2"/>
      <c r="H41" s="36"/>
      <c r="J41" s="36"/>
      <c r="K41" s="2"/>
      <c r="L41" s="36"/>
      <c r="M41" s="2"/>
      <c r="N41" s="36"/>
      <c r="O41" s="2"/>
      <c r="P41" s="36"/>
      <c r="Q41" s="2"/>
      <c r="R41" s="36"/>
      <c r="S41" s="2"/>
      <c r="T41" s="36"/>
      <c r="U41" s="2"/>
      <c r="V41" s="36"/>
      <c r="W41" s="2"/>
      <c r="X41" s="36"/>
      <c r="Y41" s="2"/>
      <c r="Z41" s="36"/>
      <c r="AA41" s="2"/>
      <c r="AB41" s="36"/>
      <c r="AC41" s="66"/>
      <c r="AD41" s="20" t="str">
        <f t="shared" ref="AD41:AD51" si="22">A41</f>
        <v xml:space="preserve">  </v>
      </c>
      <c r="AF41" s="2"/>
      <c r="AG41" s="2"/>
      <c r="AI41" s="2"/>
      <c r="AJ41" s="36"/>
      <c r="AK41" s="66"/>
      <c r="AM41" s="2"/>
      <c r="AN41" s="73"/>
      <c r="AQ41" s="2"/>
      <c r="AR41" s="73"/>
      <c r="AU41" s="2"/>
      <c r="AV41" s="73"/>
      <c r="AY41" s="2"/>
      <c r="AZ41" s="73"/>
      <c r="BC41" s="2"/>
      <c r="BD41" s="73"/>
    </row>
    <row r="42" spans="1:56" x14ac:dyDescent="0.25">
      <c r="A42" s="21" t="s">
        <v>27</v>
      </c>
      <c r="C42" s="9"/>
      <c r="D42" s="33"/>
      <c r="E42" s="10"/>
      <c r="F42" s="6"/>
      <c r="G42" s="10"/>
      <c r="H42" s="6"/>
      <c r="I42" s="10"/>
      <c r="J42" s="6"/>
      <c r="K42" s="10"/>
      <c r="L42" s="6"/>
      <c r="M42" s="10"/>
      <c r="N42" s="6"/>
      <c r="O42" s="10"/>
      <c r="P42" s="6"/>
      <c r="Q42" s="10"/>
      <c r="R42" s="6"/>
      <c r="S42" s="10"/>
      <c r="T42" s="6"/>
      <c r="U42" s="10"/>
      <c r="V42" s="6"/>
      <c r="W42" s="10"/>
      <c r="X42" s="6"/>
      <c r="Y42" s="10"/>
      <c r="Z42" s="6"/>
      <c r="AA42" s="10"/>
      <c r="AB42" s="6"/>
      <c r="AC42" s="57"/>
      <c r="AD42" s="21" t="str">
        <f t="shared" si="22"/>
        <v>Benefits</v>
      </c>
      <c r="AF42" s="2"/>
      <c r="AG42" s="2"/>
      <c r="AI42" s="2"/>
      <c r="AJ42" s="82"/>
      <c r="AK42" s="66"/>
      <c r="AM42" s="2"/>
      <c r="AN42" s="73"/>
      <c r="AQ42" s="2"/>
      <c r="AR42" s="73"/>
      <c r="AU42" s="2"/>
      <c r="AV42" s="73"/>
      <c r="AY42" s="2"/>
      <c r="AZ42" s="73"/>
      <c r="BC42" s="2"/>
      <c r="BD42" s="73"/>
    </row>
    <row r="43" spans="1:56" x14ac:dyDescent="0.25">
      <c r="A43" s="12" t="s">
        <v>83</v>
      </c>
      <c r="B43" s="39" t="s">
        <v>76</v>
      </c>
      <c r="C43" s="3">
        <v>119847</v>
      </c>
      <c r="D43" s="30"/>
      <c r="E43" s="2">
        <v>2437</v>
      </c>
      <c r="F43" s="36"/>
      <c r="G43" s="2">
        <v>1032</v>
      </c>
      <c r="H43" s="36"/>
      <c r="I43" s="2">
        <v>1282</v>
      </c>
      <c r="J43" s="36"/>
      <c r="K43" s="2">
        <v>1694</v>
      </c>
      <c r="L43" s="36"/>
      <c r="M43" s="2">
        <v>1630</v>
      </c>
      <c r="N43" s="36"/>
      <c r="O43" s="2">
        <v>687</v>
      </c>
      <c r="P43" s="36"/>
      <c r="Q43" s="2">
        <v>1196</v>
      </c>
      <c r="R43" s="36"/>
      <c r="S43" s="2">
        <v>1485</v>
      </c>
      <c r="T43" s="36"/>
      <c r="U43" s="2">
        <f>2971+23</f>
        <v>2994</v>
      </c>
      <c r="V43" s="36"/>
      <c r="W43" s="2">
        <v>2425</v>
      </c>
      <c r="X43" s="36"/>
      <c r="Y43" s="2">
        <v>1774</v>
      </c>
      <c r="Z43" s="36"/>
      <c r="AA43" s="2">
        <v>2490</v>
      </c>
      <c r="AB43" s="36"/>
      <c r="AC43" s="66"/>
      <c r="AD43" s="12" t="str">
        <f t="shared" si="22"/>
        <v>310X</v>
      </c>
      <c r="AE43" s="39" t="str">
        <f t="shared" ref="AE43:AE51" si="23">B43</f>
        <v>STRS</v>
      </c>
      <c r="AF43" s="2">
        <f>SUM(C43,E43,G43,I43,K43,M43,O43,Q43,S43,U43,W43,Y43,AA43)</f>
        <v>140973</v>
      </c>
      <c r="AG43" s="2"/>
      <c r="AH43" s="83">
        <f t="shared" ref="AH43:AH52" si="24">IF(AF43=0,"0.00%",(AI43-AF43)/AF43)</f>
        <v>0.16905364857100297</v>
      </c>
      <c r="AI43" s="2">
        <f>ROUND(AI29*LEFT(AJ43,6),0)</f>
        <v>164805</v>
      </c>
      <c r="AJ43" s="81" t="str">
        <f>TEXT('MYP Assumptions'!E52,"0.00%")&amp;", projected STRS rate"</f>
        <v>14.43%, projected STRS rate</v>
      </c>
      <c r="AK43" s="66"/>
      <c r="AL43" s="83">
        <f t="shared" ref="AL43:AL52" si="25">IF(AI43=0,"0.00%",(AM43-AI43)/AI43)</f>
        <v>0.15076605685507113</v>
      </c>
      <c r="AM43" s="2">
        <f>ROUND(AM29*LEFT(AN43,6),0)</f>
        <v>189652</v>
      </c>
      <c r="AN43" s="81" t="str">
        <f>TEXT('MYP Assumptions'!F52,"0.00%")&amp;", projected STRS rate"</f>
        <v>16.28%, projected STRS rate</v>
      </c>
      <c r="AP43" s="83">
        <f t="shared" ref="AP43:AP52" si="26">IF(AM43=0,"0.00%",(AQ43-AM43)/AM43)</f>
        <v>0.13591209162044166</v>
      </c>
      <c r="AQ43" s="2">
        <f>ROUND(AQ29*LEFT(AR43,6),0)</f>
        <v>215428</v>
      </c>
      <c r="AR43" s="81" t="str">
        <f>TEXT('MYP Assumptions'!G52,"0.00%")&amp;", projected STRS rate"</f>
        <v>18.13%, projected STRS rate</v>
      </c>
      <c r="AT43" s="83">
        <f t="shared" ref="AT43:AT52" si="27">IF(AQ43=0,"0.00%",(AU43-AQ43)/AQ43)</f>
        <v>7.4572478972092765E-2</v>
      </c>
      <c r="AU43" s="2">
        <f>ROUND(AU29*LEFT(AV43,6),0)</f>
        <v>231493</v>
      </c>
      <c r="AV43" s="81" t="str">
        <f>TEXT('MYP Assumptions'!H52,"0.00%")&amp;", projected STRS rate"</f>
        <v>19.10%, projected STRS rate</v>
      </c>
      <c r="AX43" s="83">
        <f t="shared" ref="AX43:AX52" si="28">IF(AU43=0,"0.00%",(AY43-AU43)/AU43)</f>
        <v>1.9996284984859152E-2</v>
      </c>
      <c r="AY43" s="2">
        <f>ROUND(AY29*LEFT(AZ43,6),0)</f>
        <v>236122</v>
      </c>
      <c r="AZ43" s="81" t="str">
        <f>TEXT('MYP Assumptions'!I52,"0.00%")&amp;", projected STRS rate"</f>
        <v>19.10%, projected STRS rate</v>
      </c>
      <c r="BB43" s="83">
        <f t="shared" ref="BB43:BB52" si="29">IF(AY43=0,"0.00%",(BC43-AY43)/AY43)</f>
        <v>2.0002371655330718E-2</v>
      </c>
      <c r="BC43" s="2">
        <f>ROUND(BC29*LEFT(BD43,6),0)</f>
        <v>240845</v>
      </c>
      <c r="BD43" s="81" t="str">
        <f>TEXT('MYP Assumptions'!J52,"0.00%")&amp;", projected STRS rate"</f>
        <v>19.10%, projected STRS rate</v>
      </c>
    </row>
    <row r="44" spans="1:56" x14ac:dyDescent="0.25">
      <c r="A44" s="12" t="s">
        <v>84</v>
      </c>
      <c r="B44" s="39" t="s">
        <v>77</v>
      </c>
      <c r="C44" s="3">
        <v>2702</v>
      </c>
      <c r="D44" s="30"/>
      <c r="E44" s="2">
        <v>56</v>
      </c>
      <c r="F44" s="36"/>
      <c r="G44" s="2">
        <v>2303</v>
      </c>
      <c r="H44" s="36"/>
      <c r="I44" s="2">
        <v>3973</v>
      </c>
      <c r="J44" s="36"/>
      <c r="K44" s="2">
        <v>64</v>
      </c>
      <c r="L44" s="36"/>
      <c r="M44" s="2">
        <v>193</v>
      </c>
      <c r="N44" s="36"/>
      <c r="O44" s="2">
        <v>287</v>
      </c>
      <c r="P44" s="36"/>
      <c r="Q44" s="2">
        <v>169</v>
      </c>
      <c r="R44" s="36"/>
      <c r="S44" s="2">
        <v>3530</v>
      </c>
      <c r="T44" s="36"/>
      <c r="U44" s="2">
        <f>47</f>
        <v>47</v>
      </c>
      <c r="V44" s="36"/>
      <c r="W44" s="2">
        <v>3886</v>
      </c>
      <c r="X44" s="36"/>
      <c r="Y44" s="2">
        <v>33</v>
      </c>
      <c r="Z44" s="36"/>
      <c r="AA44" s="2">
        <v>726</v>
      </c>
      <c r="AB44" s="36"/>
      <c r="AC44" s="66"/>
      <c r="AD44" s="12" t="str">
        <f t="shared" si="22"/>
        <v>320X</v>
      </c>
      <c r="AE44" s="39" t="str">
        <f t="shared" si="23"/>
        <v>PERS</v>
      </c>
      <c r="AF44" s="2">
        <f t="shared" ref="AF44:AF51" si="30">SUM(C44,E44,G44,I44,K44,M44,O44,Q44,S44,U44,W44,Y44,AA44)</f>
        <v>17969</v>
      </c>
      <c r="AG44" s="2"/>
      <c r="AH44" s="83">
        <f t="shared" si="24"/>
        <v>0.14146585786632535</v>
      </c>
      <c r="AI44" s="2">
        <f>ROUND(AI40*LEFT(AJ44,6),0)</f>
        <v>20511</v>
      </c>
      <c r="AJ44" s="81" t="str">
        <f>TEXT('MYP Assumptions'!E53,"0.00%")&amp;", projected PERS rate"</f>
        <v>15.53%, projected PERS rate</v>
      </c>
      <c r="AK44" s="66"/>
      <c r="AL44" s="83">
        <f t="shared" si="25"/>
        <v>0.1887767539369119</v>
      </c>
      <c r="AM44" s="2">
        <f>ROUND(AM40*LEFT(AN44,6),0)</f>
        <v>24383</v>
      </c>
      <c r="AN44" s="81" t="str">
        <f>TEXT('MYP Assumptions'!F53,"0.00%")&amp;", projected PERS rate"</f>
        <v>18.10%, projected PERS rate</v>
      </c>
      <c r="AP44" s="83">
        <f t="shared" si="26"/>
        <v>0.17216913423286717</v>
      </c>
      <c r="AQ44" s="2">
        <f>ROUND(AQ40*LEFT(AR44,6),0)</f>
        <v>28581</v>
      </c>
      <c r="AR44" s="81" t="str">
        <f>TEXT('MYP Assumptions'!G53,"0.00%")&amp;", projected PERS rate"</f>
        <v>20.80%, projected PERS rate</v>
      </c>
      <c r="AT44" s="83">
        <f t="shared" si="27"/>
        <v>0.16710402015324866</v>
      </c>
      <c r="AU44" s="2">
        <f>ROUND(AU40*LEFT(AV44,6),0)</f>
        <v>33357</v>
      </c>
      <c r="AV44" s="81" t="str">
        <f>TEXT('MYP Assumptions'!H53,"0.00%")&amp;", projected PERS rate"</f>
        <v>23.80%, projected PERS rate</v>
      </c>
      <c r="AX44" s="83">
        <f t="shared" si="28"/>
        <v>8.00131906346494E-2</v>
      </c>
      <c r="AY44" s="2">
        <f>ROUND(AY40*LEFT(AZ44,6),0)</f>
        <v>36026</v>
      </c>
      <c r="AZ44" s="81" t="str">
        <f>TEXT('MYP Assumptions'!I53,"0.00%")&amp;", projected PERS rate"</f>
        <v>25.20%, projected PERS rate</v>
      </c>
      <c r="BB44" s="83">
        <f t="shared" si="29"/>
        <v>5.6403708432798537E-2</v>
      </c>
      <c r="BC44" s="2">
        <f>ROUND(BC40*LEFT(BD44,6),0)</f>
        <v>38058</v>
      </c>
      <c r="BD44" s="81" t="str">
        <f>TEXT('MYP Assumptions'!J53,"0.00%")&amp;", projected PERS rate"</f>
        <v>26.10%, projected PERS rate</v>
      </c>
    </row>
    <row r="45" spans="1:56" x14ac:dyDescent="0.25">
      <c r="A45" s="12" t="s">
        <v>85</v>
      </c>
      <c r="B45" s="39" t="s">
        <v>78</v>
      </c>
      <c r="C45" s="3">
        <f>1207+223</f>
        <v>1430</v>
      </c>
      <c r="D45" s="30"/>
      <c r="E45" s="2">
        <f>30+25</f>
        <v>55</v>
      </c>
      <c r="F45" s="36"/>
      <c r="G45" s="2">
        <v>960</v>
      </c>
      <c r="H45" s="36"/>
      <c r="I45" s="2">
        <v>1688</v>
      </c>
      <c r="J45" s="36"/>
      <c r="K45" s="2">
        <f>17+38</f>
        <v>55</v>
      </c>
      <c r="L45" s="36"/>
      <c r="M45" s="2">
        <v>0</v>
      </c>
      <c r="N45" s="36"/>
      <c r="O45" s="2">
        <f>9+128</f>
        <v>137</v>
      </c>
      <c r="P45" s="36"/>
      <c r="Q45" s="2">
        <f>17+77</f>
        <v>94</v>
      </c>
      <c r="R45" s="36"/>
      <c r="S45" s="2">
        <f>5+1568</f>
        <v>1573</v>
      </c>
      <c r="T45" s="36"/>
      <c r="U45" s="2">
        <f>4+30</f>
        <v>34</v>
      </c>
      <c r="V45" s="36"/>
      <c r="W45" s="2">
        <f>9+1735</f>
        <v>1744</v>
      </c>
      <c r="X45" s="36"/>
      <c r="Y45" s="2">
        <f>18+14</f>
        <v>32</v>
      </c>
      <c r="Z45" s="36"/>
      <c r="AA45" s="2">
        <f>9+323</f>
        <v>332</v>
      </c>
      <c r="AB45" s="36"/>
      <c r="AC45" s="66"/>
      <c r="AD45" s="12" t="str">
        <f t="shared" si="22"/>
        <v>330X</v>
      </c>
      <c r="AE45" s="39" t="str">
        <f t="shared" si="23"/>
        <v>SS</v>
      </c>
      <c r="AF45" s="2">
        <f t="shared" si="30"/>
        <v>8134</v>
      </c>
      <c r="AG45" s="2"/>
      <c r="AH45" s="83">
        <f t="shared" si="24"/>
        <v>6.7617408409146795E-3</v>
      </c>
      <c r="AI45" s="2">
        <f>ROUND(AI40*LEFT(AJ45,5),0)</f>
        <v>8189</v>
      </c>
      <c r="AJ45" s="81" t="str">
        <f>TEXT('MYP Assumptions'!E54,"0.00%")&amp;", no rate change"</f>
        <v>6.20%, no rate change</v>
      </c>
      <c r="AK45" s="66"/>
      <c r="AL45" s="83">
        <f t="shared" si="25"/>
        <v>1.9904750274758822E-2</v>
      </c>
      <c r="AM45" s="2">
        <f>ROUND(AM40*LEFT(AN45,5),0)</f>
        <v>8352</v>
      </c>
      <c r="AN45" s="81" t="str">
        <f>TEXT('MYP Assumptions'!F54,"0.00%")&amp;", no rate change"</f>
        <v>6.20%, no rate change</v>
      </c>
      <c r="AP45" s="83">
        <f t="shared" si="26"/>
        <v>1.9995210727969347E-2</v>
      </c>
      <c r="AQ45" s="2">
        <f>ROUND(AQ40*LEFT(AR45,5),0)</f>
        <v>8519</v>
      </c>
      <c r="AR45" s="81" t="str">
        <f>TEXT('MYP Assumptions'!G54,"0.00%")&amp;", no rate change"</f>
        <v>6.20%, no rate change</v>
      </c>
      <c r="AT45" s="83">
        <f t="shared" si="27"/>
        <v>2.0072778495128535E-2</v>
      </c>
      <c r="AU45" s="2">
        <f>ROUND(AU40*LEFT(AV45,5),0)</f>
        <v>8690</v>
      </c>
      <c r="AV45" s="81" t="str">
        <f>TEXT('MYP Assumptions'!H54,"0.00%")&amp;", no rate change"</f>
        <v>6.20%, no rate change</v>
      </c>
      <c r="AX45" s="83">
        <f t="shared" si="28"/>
        <v>1.9907940161104719E-2</v>
      </c>
      <c r="AY45" s="2">
        <f>ROUND(AY40*LEFT(AZ45,5),0)</f>
        <v>8863</v>
      </c>
      <c r="AZ45" s="81" t="str">
        <f>TEXT('MYP Assumptions'!I54,"0.00%")&amp;", no rate change"</f>
        <v>6.20%, no rate change</v>
      </c>
      <c r="BB45" s="83">
        <f t="shared" si="29"/>
        <v>2.0083493173868892E-2</v>
      </c>
      <c r="BC45" s="2">
        <f>ROUND(BC40*LEFT(BD45,5),0)</f>
        <v>9041</v>
      </c>
      <c r="BD45" s="81" t="str">
        <f>TEXT('MYP Assumptions'!J54,"0.00%")&amp;", no rate change"</f>
        <v>6.20%, no rate change</v>
      </c>
    </row>
    <row r="46" spans="1:56" x14ac:dyDescent="0.25">
      <c r="A46" s="12" t="s">
        <v>86</v>
      </c>
      <c r="B46" s="39" t="s">
        <v>79</v>
      </c>
      <c r="C46" s="3">
        <f>14371+282</f>
        <v>14653</v>
      </c>
      <c r="D46" s="30"/>
      <c r="E46" s="2">
        <f>251+6</f>
        <v>257</v>
      </c>
      <c r="F46" s="36"/>
      <c r="G46" s="2">
        <f>118+241</f>
        <v>359</v>
      </c>
      <c r="H46" s="36"/>
      <c r="I46" s="2">
        <f>296+415</f>
        <v>711</v>
      </c>
      <c r="J46" s="36"/>
      <c r="K46" s="2">
        <f>194+8</f>
        <v>202</v>
      </c>
      <c r="L46" s="36"/>
      <c r="M46" s="2">
        <v>86</v>
      </c>
      <c r="N46" s="36"/>
      <c r="O46" s="2">
        <f>78+29</f>
        <v>107</v>
      </c>
      <c r="P46" s="36"/>
      <c r="Q46" s="2">
        <f>138+18</f>
        <v>156</v>
      </c>
      <c r="R46" s="36"/>
      <c r="S46" s="2">
        <f>219+363</f>
        <v>582</v>
      </c>
      <c r="T46" s="36"/>
      <c r="U46" s="2">
        <f>342+7</f>
        <v>349</v>
      </c>
      <c r="V46" s="36"/>
      <c r="W46" s="2">
        <f>280+405</f>
        <v>685</v>
      </c>
      <c r="X46" s="36"/>
      <c r="Y46" s="2">
        <v>210</v>
      </c>
      <c r="Z46" s="36"/>
      <c r="AA46" s="2">
        <f>287+76</f>
        <v>363</v>
      </c>
      <c r="AB46" s="36"/>
      <c r="AC46" s="66"/>
      <c r="AD46" s="12" t="str">
        <f t="shared" si="22"/>
        <v>331X</v>
      </c>
      <c r="AE46" s="39" t="str">
        <f t="shared" si="23"/>
        <v>Medicare</v>
      </c>
      <c r="AF46" s="2">
        <f t="shared" si="30"/>
        <v>18720</v>
      </c>
      <c r="AG46" s="2"/>
      <c r="AH46" s="83">
        <f t="shared" si="24"/>
        <v>-1.3087606837606838E-2</v>
      </c>
      <c r="AI46" s="2">
        <f>ROUND((AI40+AI29)*LEFT(AJ46,5),0)</f>
        <v>18475</v>
      </c>
      <c r="AJ46" s="81" t="str">
        <f>TEXT('MYP Assumptions'!E55,"0.00%")&amp;", no rate change"</f>
        <v>1.45%, no rate change</v>
      </c>
      <c r="AK46" s="66"/>
      <c r="AL46" s="83">
        <f t="shared" si="25"/>
        <v>2.0027063599458727E-2</v>
      </c>
      <c r="AM46" s="2">
        <f>ROUND((AM40+AM29)*LEFT(AN46,5),0)</f>
        <v>18845</v>
      </c>
      <c r="AN46" s="81" t="str">
        <f>TEXT('MYP Assumptions'!F55,"0.00%")&amp;", no rate change"</f>
        <v>1.45%, no rate change</v>
      </c>
      <c r="AP46" s="83">
        <f t="shared" si="26"/>
        <v>2.0005306447333511E-2</v>
      </c>
      <c r="AQ46" s="2">
        <f>ROUND((AQ40+AQ29)*LEFT(AR46,5),0)</f>
        <v>19222</v>
      </c>
      <c r="AR46" s="81" t="str">
        <f>TEXT('MYP Assumptions'!G55,"0.00%")&amp;", no rate change"</f>
        <v>1.45%, no rate change</v>
      </c>
      <c r="AT46" s="83">
        <f t="shared" si="27"/>
        <v>1.9977109561960252E-2</v>
      </c>
      <c r="AU46" s="2">
        <f>ROUND((AU40+AU29)*LEFT(AV46,5),0)</f>
        <v>19606</v>
      </c>
      <c r="AV46" s="81" t="str">
        <f>TEXT('MYP Assumptions'!H55,"0.00%")&amp;", no rate change"</f>
        <v>1.45%, no rate change</v>
      </c>
      <c r="AX46" s="83">
        <f t="shared" si="28"/>
        <v>1.999387942466592E-2</v>
      </c>
      <c r="AY46" s="2">
        <f>ROUND((AY40+AY29)*LEFT(AZ46,5),0)</f>
        <v>19998</v>
      </c>
      <c r="AZ46" s="81" t="str">
        <f>TEXT('MYP Assumptions'!I55,"0.00%")&amp;", no rate change"</f>
        <v>1.45%, no rate change</v>
      </c>
      <c r="BB46" s="83">
        <f t="shared" si="29"/>
        <v>2.0002000200020003E-2</v>
      </c>
      <c r="BC46" s="2">
        <f>ROUND((BC40+BC29)*LEFT(BD46,5),0)</f>
        <v>20398</v>
      </c>
      <c r="BD46" s="81" t="str">
        <f>TEXT('MYP Assumptions'!J55,"0.00%")&amp;", no rate change"</f>
        <v>1.45%, no rate change</v>
      </c>
    </row>
    <row r="47" spans="1:56" x14ac:dyDescent="0.25">
      <c r="A47" s="12" t="s">
        <v>87</v>
      </c>
      <c r="B47" s="39" t="s">
        <v>80</v>
      </c>
      <c r="C47" s="3">
        <f>106578+6504</f>
        <v>113082</v>
      </c>
      <c r="D47" s="30"/>
      <c r="E47" s="2">
        <v>0</v>
      </c>
      <c r="F47" s="36"/>
      <c r="G47" s="2">
        <v>593</v>
      </c>
      <c r="H47" s="36"/>
      <c r="I47" s="2">
        <v>310</v>
      </c>
      <c r="J47" s="36"/>
      <c r="K47" s="2">
        <f>7+1</f>
        <v>8</v>
      </c>
      <c r="L47" s="36"/>
      <c r="M47" s="2">
        <f>188+20</f>
        <v>208</v>
      </c>
      <c r="N47" s="36"/>
      <c r="O47" s="2">
        <v>0</v>
      </c>
      <c r="P47" s="36"/>
      <c r="Q47" s="2">
        <f>4</f>
        <v>4</v>
      </c>
      <c r="R47" s="36"/>
      <c r="S47" s="2">
        <v>395</v>
      </c>
      <c r="T47" s="36"/>
      <c r="U47" s="2">
        <v>0</v>
      </c>
      <c r="V47" s="36"/>
      <c r="W47" s="2">
        <v>4848</v>
      </c>
      <c r="X47" s="36"/>
      <c r="Y47" s="2">
        <v>0</v>
      </c>
      <c r="Z47" s="36"/>
      <c r="AA47" s="2">
        <v>0</v>
      </c>
      <c r="AB47" s="36"/>
      <c r="AC47" s="66"/>
      <c r="AD47" s="12" t="str">
        <f t="shared" si="22"/>
        <v>340X</v>
      </c>
      <c r="AE47" s="39" t="str">
        <f t="shared" si="23"/>
        <v>H&amp;W</v>
      </c>
      <c r="AF47" s="2">
        <f t="shared" si="30"/>
        <v>119448</v>
      </c>
      <c r="AG47" s="2"/>
      <c r="AH47" s="83">
        <f t="shared" si="24"/>
        <v>6.9996986136226638E-2</v>
      </c>
      <c r="AI47" s="2">
        <f>ROUND((AF47)*(LEFT(AJ47,5)+1),0)</f>
        <v>127809</v>
      </c>
      <c r="AJ47" s="81" t="str">
        <f>TEXT('MYP Assumptions'!$M$62,"0.00%")&amp;", projected increase"</f>
        <v>7.00%, projected increase</v>
      </c>
      <c r="AK47" s="66"/>
      <c r="AL47" s="83">
        <f t="shared" si="25"/>
        <v>7.0002894944800442E-2</v>
      </c>
      <c r="AM47" s="2">
        <f>ROUND((AI47)*(LEFT(AN47,5)+1),0)</f>
        <v>136756</v>
      </c>
      <c r="AN47" s="81" t="str">
        <f>TEXT('MYP Assumptions'!$M$62,"0.00%")&amp;", projected increase"</f>
        <v>7.00%, projected increase</v>
      </c>
      <c r="AP47" s="83">
        <f t="shared" si="26"/>
        <v>7.0000584983474223E-2</v>
      </c>
      <c r="AQ47" s="2">
        <f>ROUND((AM47)*(LEFT(AR47,5)+1),0)</f>
        <v>146329</v>
      </c>
      <c r="AR47" s="81" t="str">
        <f>TEXT('MYP Assumptions'!$M$62,"0.00%")&amp;", projected increase"</f>
        <v>7.00%, projected increase</v>
      </c>
      <c r="AT47" s="83">
        <f t="shared" si="27"/>
        <v>6.9999794982539346E-2</v>
      </c>
      <c r="AU47" s="2">
        <f>ROUND((AQ47)*(LEFT(AV47,5)+1),0)</f>
        <v>156572</v>
      </c>
      <c r="AV47" s="81" t="str">
        <f>TEXT('MYP Assumptions'!$M$62,"0.00%")&amp;", projected increase"</f>
        <v>7.00%, projected increase</v>
      </c>
      <c r="AX47" s="83">
        <f t="shared" si="28"/>
        <v>6.9999744526479835E-2</v>
      </c>
      <c r="AY47" s="2">
        <f>ROUND((AU47)*(LEFT(AZ47,5)+1),0)</f>
        <v>167532</v>
      </c>
      <c r="AZ47" s="81" t="str">
        <f>TEXT('MYP Assumptions'!$M$62,"0.00%")&amp;", projected increase"</f>
        <v>7.00%, projected increase</v>
      </c>
      <c r="BB47" s="83">
        <f t="shared" si="29"/>
        <v>6.9998567437862619E-2</v>
      </c>
      <c r="BC47" s="2">
        <f>ROUND((AY47)*(LEFT(BD47,5)+1),0)</f>
        <v>179259</v>
      </c>
      <c r="BD47" s="81" t="str">
        <f>TEXT('MYP Assumptions'!$M$62,"0.00%")&amp;", projected increase"</f>
        <v>7.00%, projected increase</v>
      </c>
    </row>
    <row r="48" spans="1:56" x14ac:dyDescent="0.25">
      <c r="A48" s="12" t="s">
        <v>88</v>
      </c>
      <c r="B48" s="39" t="s">
        <v>81</v>
      </c>
      <c r="C48" s="3">
        <f>496+10</f>
        <v>506</v>
      </c>
      <c r="D48" s="30"/>
      <c r="E48" s="2">
        <f>11+1</f>
        <v>12</v>
      </c>
      <c r="F48" s="36"/>
      <c r="G48" s="2">
        <f>4+8</f>
        <v>12</v>
      </c>
      <c r="H48" s="36"/>
      <c r="I48" s="2">
        <f>10+14</f>
        <v>24</v>
      </c>
      <c r="J48" s="36"/>
      <c r="K48" s="2">
        <f>149+7</f>
        <v>156</v>
      </c>
      <c r="L48" s="36"/>
      <c r="M48" s="2">
        <f>8+1</f>
        <v>9</v>
      </c>
      <c r="N48" s="36"/>
      <c r="O48" s="2">
        <v>2</v>
      </c>
      <c r="P48" s="36"/>
      <c r="Q48" s="2">
        <f>105+14</f>
        <v>119</v>
      </c>
      <c r="R48" s="36"/>
      <c r="S48" s="2">
        <f>7+13</f>
        <v>20</v>
      </c>
      <c r="T48" s="36"/>
      <c r="U48" s="2">
        <v>13</v>
      </c>
      <c r="V48" s="36"/>
      <c r="W48" s="2">
        <v>24</v>
      </c>
      <c r="X48" s="36"/>
      <c r="Y48" s="2">
        <v>7</v>
      </c>
      <c r="Z48" s="36"/>
      <c r="AA48" s="2">
        <f>10+2</f>
        <v>12</v>
      </c>
      <c r="AB48" s="36"/>
      <c r="AC48" s="66"/>
      <c r="AD48" s="12" t="str">
        <f t="shared" si="22"/>
        <v>350X</v>
      </c>
      <c r="AE48" s="39" t="str">
        <f t="shared" si="23"/>
        <v>SUI</v>
      </c>
      <c r="AF48" s="2">
        <f t="shared" si="30"/>
        <v>916</v>
      </c>
      <c r="AG48" s="2"/>
      <c r="AH48" s="83">
        <f t="shared" si="24"/>
        <v>-0.30458515283842796</v>
      </c>
      <c r="AI48" s="2">
        <f>ROUND((AI40+AI29)*LEFT(AJ48,5),0)</f>
        <v>637</v>
      </c>
      <c r="AJ48" s="81" t="str">
        <f>TEXT('MYP Assumptions'!E56,"0.00%")&amp;", no rate change"</f>
        <v>0.05%, no rate change</v>
      </c>
      <c r="AK48" s="66"/>
      <c r="AL48" s="83">
        <f t="shared" si="25"/>
        <v>2.0408163265306121E-2</v>
      </c>
      <c r="AM48" s="2">
        <f>ROUND((AM40+AM29)*LEFT(AN48,5),0)</f>
        <v>650</v>
      </c>
      <c r="AN48" s="81" t="str">
        <f>TEXT('MYP Assumptions'!F56,"0.00%")&amp;", no rate change"</f>
        <v>0.05%, no rate change</v>
      </c>
      <c r="AP48" s="83">
        <f t="shared" si="26"/>
        <v>0.02</v>
      </c>
      <c r="AQ48" s="2">
        <f>ROUND((AQ40+AQ29)*LEFT(AR48,5),0)</f>
        <v>663</v>
      </c>
      <c r="AR48" s="81" t="str">
        <f>TEXT('MYP Assumptions'!G56,"0.00%")&amp;", no rate change"</f>
        <v>0.05%, no rate change</v>
      </c>
      <c r="AT48" s="83">
        <f t="shared" si="27"/>
        <v>1.9607843137254902E-2</v>
      </c>
      <c r="AU48" s="2">
        <f>ROUND((AU40+AU29)*LEFT(AV48,5),0)</f>
        <v>676</v>
      </c>
      <c r="AV48" s="81" t="str">
        <f>TEXT('MYP Assumptions'!H56,"0.00%")&amp;", no rate change"</f>
        <v>0.05%, no rate change</v>
      </c>
      <c r="AX48" s="83">
        <f t="shared" si="28"/>
        <v>2.0710059171597635E-2</v>
      </c>
      <c r="AY48" s="2">
        <f>ROUND((AY40+AY29)*LEFT(AZ48,5),0)</f>
        <v>690</v>
      </c>
      <c r="AZ48" s="81" t="str">
        <f>TEXT('MYP Assumptions'!I56,"0.00%")&amp;", no rate change"</f>
        <v>0.05%, no rate change</v>
      </c>
      <c r="BB48" s="83">
        <f t="shared" si="29"/>
        <v>1.8840579710144929E-2</v>
      </c>
      <c r="BC48" s="2">
        <f>ROUND((BC40+BC29)*LEFT(BD48,5),0)</f>
        <v>703</v>
      </c>
      <c r="BD48" s="81" t="str">
        <f>TEXT('MYP Assumptions'!J56,"0.00%")&amp;", no rate change"</f>
        <v>0.05%, no rate change</v>
      </c>
    </row>
    <row r="49" spans="1:56" x14ac:dyDescent="0.25">
      <c r="A49" s="12" t="s">
        <v>89</v>
      </c>
      <c r="B49" s="39" t="s">
        <v>82</v>
      </c>
      <c r="C49" s="3">
        <f>10182+215</f>
        <v>10397</v>
      </c>
      <c r="D49" s="30"/>
      <c r="E49" s="2">
        <f>212+5</f>
        <v>217</v>
      </c>
      <c r="F49" s="36"/>
      <c r="G49" s="2">
        <f>90+183</f>
        <v>273</v>
      </c>
      <c r="H49" s="36"/>
      <c r="I49" s="2">
        <f>224+314</f>
        <v>538</v>
      </c>
      <c r="J49" s="36"/>
      <c r="K49" s="2">
        <v>0</v>
      </c>
      <c r="L49" s="36"/>
      <c r="M49" s="2">
        <f>143+15</f>
        <v>158</v>
      </c>
      <c r="N49" s="36"/>
      <c r="O49" s="2">
        <f>60+22</f>
        <v>82</v>
      </c>
      <c r="P49" s="36"/>
      <c r="Q49" s="2">
        <v>0</v>
      </c>
      <c r="R49" s="36"/>
      <c r="S49" s="2">
        <f>166+277</f>
        <v>443</v>
      </c>
      <c r="T49" s="36"/>
      <c r="U49" s="2">
        <f>260+5</f>
        <v>265</v>
      </c>
      <c r="V49" s="36"/>
      <c r="W49" s="2">
        <f>223+308</f>
        <v>531</v>
      </c>
      <c r="X49" s="36"/>
      <c r="Y49" s="2">
        <f>158</f>
        <v>158</v>
      </c>
      <c r="Z49" s="36"/>
      <c r="AA49" s="2">
        <f>218+58</f>
        <v>276</v>
      </c>
      <c r="AB49" s="36"/>
      <c r="AC49" s="66"/>
      <c r="AD49" s="12" t="str">
        <f t="shared" si="22"/>
        <v>360X</v>
      </c>
      <c r="AE49" s="39" t="str">
        <f t="shared" si="23"/>
        <v>W/C</v>
      </c>
      <c r="AF49" s="2">
        <f t="shared" si="30"/>
        <v>13338</v>
      </c>
      <c r="AG49" s="2"/>
      <c r="AH49" s="83">
        <f t="shared" si="24"/>
        <v>5.083220872694557E-2</v>
      </c>
      <c r="AI49" s="2">
        <f>ROUND((AI40+AI29)*LEFT(AJ49,5),0)</f>
        <v>14016</v>
      </c>
      <c r="AJ49" s="81" t="str">
        <f>TEXT('MYP Assumptions'!E57,"0.00%")&amp;", no rate change"</f>
        <v>1.10%, no rate change</v>
      </c>
      <c r="AK49" s="66"/>
      <c r="AL49" s="83">
        <f t="shared" si="25"/>
        <v>1.9977168949771688E-2</v>
      </c>
      <c r="AM49" s="2">
        <f>ROUND((AM40+AM29)*LEFT(AN49,5),0)</f>
        <v>14296</v>
      </c>
      <c r="AN49" s="81" t="str">
        <f>TEXT('MYP Assumptions'!F57,"0.00%")&amp;", no rate change"</f>
        <v>1.10%, no rate change</v>
      </c>
      <c r="AP49" s="83">
        <f t="shared" si="26"/>
        <v>2.0005595970900951E-2</v>
      </c>
      <c r="AQ49" s="2">
        <f>ROUND((AQ40+AQ29)*LEFT(AR49,5),0)</f>
        <v>14582</v>
      </c>
      <c r="AR49" s="81" t="str">
        <f>TEXT('MYP Assumptions'!G57,"0.00%")&amp;", no rate change"</f>
        <v>1.10%, no rate change</v>
      </c>
      <c r="AT49" s="83">
        <f t="shared" si="27"/>
        <v>2.0024687971471677E-2</v>
      </c>
      <c r="AU49" s="2">
        <f>ROUND((AU40+AU29)*LEFT(AV49,5),0)</f>
        <v>14874</v>
      </c>
      <c r="AV49" s="81" t="str">
        <f>TEXT('MYP Assumptions'!H57,"0.00%")&amp;", no rate change"</f>
        <v>1.10%, no rate change</v>
      </c>
      <c r="AX49" s="83">
        <f t="shared" si="28"/>
        <v>1.9967728922952805E-2</v>
      </c>
      <c r="AY49" s="2">
        <f>ROUND((AY40+AY29)*LEFT(AZ49,5),0)</f>
        <v>15171</v>
      </c>
      <c r="AZ49" s="81" t="str">
        <f>TEXT('MYP Assumptions'!I57,"0.00%")&amp;", no rate change"</f>
        <v>1.10%, no rate change</v>
      </c>
      <c r="BB49" s="83">
        <f t="shared" si="29"/>
        <v>2.0038230835146002E-2</v>
      </c>
      <c r="BC49" s="2">
        <f>ROUND((BC40+BC29)*LEFT(BD49,5),0)</f>
        <v>15475</v>
      </c>
      <c r="BD49" s="81" t="str">
        <f>TEXT('MYP Assumptions'!J57,"0.00%")&amp;", no rate change"</f>
        <v>1.10%, no rate change</v>
      </c>
    </row>
    <row r="50" spans="1:56" x14ac:dyDescent="0.25">
      <c r="A50" s="12" t="s">
        <v>90</v>
      </c>
      <c r="B50" s="39" t="s">
        <v>92</v>
      </c>
      <c r="C50" s="3">
        <v>0</v>
      </c>
      <c r="D50" s="30"/>
      <c r="E50" s="2">
        <v>0</v>
      </c>
      <c r="F50" s="36"/>
      <c r="G50" s="2">
        <v>0</v>
      </c>
      <c r="H50" s="36"/>
      <c r="I50" s="2">
        <v>0</v>
      </c>
      <c r="J50" s="36"/>
      <c r="K50" s="2">
        <v>0</v>
      </c>
      <c r="L50" s="36"/>
      <c r="M50" s="2">
        <v>0</v>
      </c>
      <c r="N50" s="36"/>
      <c r="O50" s="2">
        <v>0</v>
      </c>
      <c r="P50" s="36"/>
      <c r="Q50" s="2">
        <v>0</v>
      </c>
      <c r="R50" s="36"/>
      <c r="S50" s="2">
        <v>0</v>
      </c>
      <c r="T50" s="36"/>
      <c r="U50" s="2">
        <v>0</v>
      </c>
      <c r="V50" s="36"/>
      <c r="W50" s="2">
        <v>0</v>
      </c>
      <c r="X50" s="36"/>
      <c r="Y50" s="2">
        <f>3</f>
        <v>3</v>
      </c>
      <c r="Z50" s="36"/>
      <c r="AA50" s="2">
        <v>0</v>
      </c>
      <c r="AB50" s="36"/>
      <c r="AC50" s="66"/>
      <c r="AD50" s="12" t="str">
        <f t="shared" si="22"/>
        <v>370X</v>
      </c>
      <c r="AE50" s="39" t="str">
        <f t="shared" si="23"/>
        <v>OPEB</v>
      </c>
      <c r="AF50" s="2">
        <f t="shared" si="30"/>
        <v>3</v>
      </c>
      <c r="AG50" s="2"/>
      <c r="AH50" s="83">
        <f t="shared" si="24"/>
        <v>0</v>
      </c>
      <c r="AI50" s="2">
        <f>AF50</f>
        <v>3</v>
      </c>
      <c r="AJ50" s="81" t="s">
        <v>166</v>
      </c>
      <c r="AK50" s="66"/>
      <c r="AL50" s="83">
        <f t="shared" si="25"/>
        <v>0</v>
      </c>
      <c r="AM50" s="2">
        <f>AI50</f>
        <v>3</v>
      </c>
      <c r="AN50" s="81" t="s">
        <v>166</v>
      </c>
      <c r="AP50" s="83">
        <f t="shared" si="26"/>
        <v>0</v>
      </c>
      <c r="AQ50" s="2">
        <f>AM50</f>
        <v>3</v>
      </c>
      <c r="AR50" s="81" t="s">
        <v>166</v>
      </c>
      <c r="AT50" s="83">
        <f t="shared" si="27"/>
        <v>0</v>
      </c>
      <c r="AU50" s="2">
        <f>AQ50</f>
        <v>3</v>
      </c>
      <c r="AV50" s="81" t="s">
        <v>166</v>
      </c>
      <c r="AX50" s="83">
        <f t="shared" si="28"/>
        <v>0</v>
      </c>
      <c r="AY50" s="2">
        <f>AU50</f>
        <v>3</v>
      </c>
      <c r="AZ50" s="81" t="s">
        <v>166</v>
      </c>
      <c r="BB50" s="83">
        <f t="shared" si="29"/>
        <v>0</v>
      </c>
      <c r="BC50" s="2">
        <f>AY50</f>
        <v>3</v>
      </c>
      <c r="BD50" s="81" t="s">
        <v>166</v>
      </c>
    </row>
    <row r="51" spans="1:56" x14ac:dyDescent="0.25">
      <c r="A51" s="12" t="s">
        <v>91</v>
      </c>
      <c r="B51" s="39" t="s">
        <v>93</v>
      </c>
      <c r="C51" s="3">
        <v>5685</v>
      </c>
      <c r="D51" s="30"/>
      <c r="E51" s="2">
        <v>0</v>
      </c>
      <c r="F51" s="36"/>
      <c r="G51" s="2">
        <v>0</v>
      </c>
      <c r="H51" s="36"/>
      <c r="I51" s="2">
        <v>0</v>
      </c>
      <c r="J51" s="36"/>
      <c r="K51" s="2">
        <v>0</v>
      </c>
      <c r="L51" s="36"/>
      <c r="M51" s="2">
        <v>0</v>
      </c>
      <c r="N51" s="36"/>
      <c r="O51" s="2">
        <v>0</v>
      </c>
      <c r="P51" s="36"/>
      <c r="Q51" s="2">
        <v>0</v>
      </c>
      <c r="R51" s="36"/>
      <c r="S51" s="2">
        <v>0</v>
      </c>
      <c r="T51" s="36"/>
      <c r="U51" s="2">
        <v>0</v>
      </c>
      <c r="V51" s="36"/>
      <c r="W51" s="2">
        <v>0</v>
      </c>
      <c r="X51" s="36"/>
      <c r="Y51" s="2">
        <v>0</v>
      </c>
      <c r="Z51" s="36"/>
      <c r="AA51" s="2">
        <v>0</v>
      </c>
      <c r="AB51" s="36"/>
      <c r="AC51" s="66"/>
      <c r="AD51" s="12" t="str">
        <f t="shared" si="22"/>
        <v>390X</v>
      </c>
      <c r="AE51" s="39" t="str">
        <f t="shared" si="23"/>
        <v>Other Benefits</v>
      </c>
      <c r="AF51" s="2">
        <f t="shared" si="30"/>
        <v>5685</v>
      </c>
      <c r="AG51" s="2"/>
      <c r="AH51" s="83">
        <f t="shared" si="24"/>
        <v>0</v>
      </c>
      <c r="AI51" s="2">
        <f>AF51</f>
        <v>5685</v>
      </c>
      <c r="AJ51" s="81" t="s">
        <v>166</v>
      </c>
      <c r="AK51" s="66"/>
      <c r="AL51" s="83">
        <f t="shared" si="25"/>
        <v>0</v>
      </c>
      <c r="AM51" s="2">
        <f>AI51</f>
        <v>5685</v>
      </c>
      <c r="AN51" s="81" t="s">
        <v>166</v>
      </c>
      <c r="AP51" s="83">
        <f t="shared" si="26"/>
        <v>0</v>
      </c>
      <c r="AQ51" s="2">
        <f>AM51</f>
        <v>5685</v>
      </c>
      <c r="AR51" s="81" t="s">
        <v>166</v>
      </c>
      <c r="AT51" s="83">
        <f t="shared" si="27"/>
        <v>0</v>
      </c>
      <c r="AU51" s="2">
        <f>AQ51</f>
        <v>5685</v>
      </c>
      <c r="AV51" s="81" t="s">
        <v>166</v>
      </c>
      <c r="AX51" s="83">
        <f t="shared" si="28"/>
        <v>0</v>
      </c>
      <c r="AY51" s="2">
        <f>AU51</f>
        <v>5685</v>
      </c>
      <c r="AZ51" s="81" t="s">
        <v>166</v>
      </c>
      <c r="BB51" s="83">
        <f t="shared" si="29"/>
        <v>0</v>
      </c>
      <c r="BC51" s="2">
        <f>AY51</f>
        <v>5685</v>
      </c>
      <c r="BD51" s="81" t="s">
        <v>166</v>
      </c>
    </row>
    <row r="52" spans="1:56" x14ac:dyDescent="0.25">
      <c r="A52" s="12"/>
      <c r="C52" s="8">
        <f>SUM(C43:C51)</f>
        <v>268302</v>
      </c>
      <c r="D52" s="33"/>
      <c r="E52" s="8">
        <f>SUM(E43:E51)</f>
        <v>3034</v>
      </c>
      <c r="F52" s="5"/>
      <c r="G52" s="8">
        <f>SUM(G43:G51)</f>
        <v>5532</v>
      </c>
      <c r="H52" s="5"/>
      <c r="I52" s="8">
        <f>SUM(I43:I51)</f>
        <v>8526</v>
      </c>
      <c r="J52" s="5"/>
      <c r="K52" s="8">
        <f>SUM(K43:K51)</f>
        <v>2179</v>
      </c>
      <c r="L52" s="5"/>
      <c r="M52" s="8">
        <f>SUM(M43:M51)</f>
        <v>2284</v>
      </c>
      <c r="N52" s="5"/>
      <c r="O52" s="8">
        <f>SUM(O43:O51)</f>
        <v>1302</v>
      </c>
      <c r="P52" s="5"/>
      <c r="Q52" s="8">
        <f>SUM(Q43:Q51)</f>
        <v>1738</v>
      </c>
      <c r="R52" s="5"/>
      <c r="S52" s="8">
        <f>SUM(S43:S51)</f>
        <v>8028</v>
      </c>
      <c r="T52" s="5"/>
      <c r="U52" s="8">
        <f>SUM(U43:U51)</f>
        <v>3702</v>
      </c>
      <c r="V52" s="5"/>
      <c r="W52" s="8">
        <f>SUM(W43:W51)</f>
        <v>14143</v>
      </c>
      <c r="X52" s="5"/>
      <c r="Y52" s="8">
        <f>SUM(Y43:Y51)</f>
        <v>2217</v>
      </c>
      <c r="Z52" s="5"/>
      <c r="AA52" s="8">
        <f>SUM(AA43:AA51)</f>
        <v>4199</v>
      </c>
      <c r="AB52" s="5"/>
      <c r="AC52" s="29"/>
      <c r="AD52" s="12"/>
      <c r="AF52" s="8">
        <f>SUM(AF43:AF51)</f>
        <v>325186</v>
      </c>
      <c r="AG52" s="2"/>
      <c r="AH52" s="83">
        <f t="shared" si="24"/>
        <v>0.10745850067346073</v>
      </c>
      <c r="AI52" s="8">
        <f>SUM(AI43:AI51)</f>
        <v>360130</v>
      </c>
      <c r="AJ52" s="5"/>
      <c r="AK52" s="29"/>
      <c r="AL52" s="83">
        <f t="shared" si="25"/>
        <v>0.10688362535750978</v>
      </c>
      <c r="AM52" s="8">
        <f>SUM(AM43:AM51)</f>
        <v>398622</v>
      </c>
      <c r="AN52" s="73"/>
      <c r="AP52" s="83">
        <f t="shared" si="26"/>
        <v>0.10132406139149369</v>
      </c>
      <c r="AQ52" s="8">
        <f>SUM(AQ43:AQ51)</f>
        <v>439012</v>
      </c>
      <c r="AR52" s="73"/>
      <c r="AT52" s="83">
        <f t="shared" si="27"/>
        <v>7.2763386877807437E-2</v>
      </c>
      <c r="AU52" s="8">
        <f>SUM(AU43:AU51)</f>
        <v>470956</v>
      </c>
      <c r="AV52" s="73"/>
      <c r="AX52" s="83">
        <f t="shared" si="28"/>
        <v>4.0627999218610655E-2</v>
      </c>
      <c r="AY52" s="8">
        <f>SUM(AY43:AY51)</f>
        <v>490090</v>
      </c>
      <c r="AZ52" s="73"/>
      <c r="BB52" s="83">
        <f t="shared" si="29"/>
        <v>3.9537635944418371E-2</v>
      </c>
      <c r="BC52" s="8">
        <f>SUM(BC43:BC51)</f>
        <v>509467</v>
      </c>
      <c r="BD52" s="73"/>
    </row>
    <row r="53" spans="1:56" x14ac:dyDescent="0.25">
      <c r="A53" s="12"/>
      <c r="C53" s="9"/>
      <c r="D53" s="33"/>
      <c r="E53" s="10"/>
      <c r="F53" s="6"/>
      <c r="G53" s="10"/>
      <c r="H53" s="6"/>
      <c r="I53" s="10"/>
      <c r="J53" s="6"/>
      <c r="K53" s="10"/>
      <c r="L53" s="6"/>
      <c r="M53" s="10"/>
      <c r="N53" s="6"/>
      <c r="O53" s="10"/>
      <c r="P53" s="6"/>
      <c r="Q53" s="10"/>
      <c r="R53" s="6"/>
      <c r="S53" s="10"/>
      <c r="T53" s="6"/>
      <c r="U53" s="10"/>
      <c r="V53" s="6"/>
      <c r="W53" s="10"/>
      <c r="X53" s="6"/>
      <c r="Y53" s="10"/>
      <c r="Z53" s="6"/>
      <c r="AA53" s="10"/>
      <c r="AB53" s="6"/>
      <c r="AC53" s="57"/>
      <c r="AD53" s="12"/>
      <c r="AF53" s="2"/>
      <c r="AG53" s="2"/>
      <c r="AI53" s="2"/>
      <c r="AJ53" s="36"/>
      <c r="AK53" s="66"/>
      <c r="AM53" s="2"/>
      <c r="AN53" s="73"/>
      <c r="AQ53" s="2"/>
      <c r="AR53" s="73"/>
      <c r="AU53" s="2"/>
      <c r="AV53" s="73"/>
      <c r="AY53" s="2"/>
      <c r="AZ53" s="73"/>
      <c r="BC53" s="2"/>
      <c r="BD53" s="73"/>
    </row>
    <row r="54" spans="1:56" x14ac:dyDescent="0.25">
      <c r="A54" s="21" t="s">
        <v>26</v>
      </c>
      <c r="C54" s="8">
        <f>SUM(C52,C40,C29)</f>
        <v>1255135</v>
      </c>
      <c r="D54" s="33"/>
      <c r="E54" s="8">
        <f>SUM(E52,E40,E29)</f>
        <v>20309</v>
      </c>
      <c r="F54" s="5"/>
      <c r="G54" s="8">
        <f>SUM(G52,G40,G29)</f>
        <v>27254</v>
      </c>
      <c r="H54" s="5"/>
      <c r="I54" s="8">
        <f>SUM(I52,I40,I29)</f>
        <v>57467</v>
      </c>
      <c r="J54" s="5"/>
      <c r="K54" s="8">
        <f>SUM(K52,K40,K29)</f>
        <v>16016</v>
      </c>
      <c r="L54" s="5"/>
      <c r="M54" s="8">
        <f>SUM(M52,M40,M29)</f>
        <v>16632</v>
      </c>
      <c r="N54" s="5"/>
      <c r="O54" s="8">
        <f>SUM(O52,O40,O29)</f>
        <v>9172</v>
      </c>
      <c r="P54" s="5"/>
      <c r="Q54" s="8">
        <f>SUM(Q52,Q40,Q29)</f>
        <v>12469</v>
      </c>
      <c r="R54" s="5"/>
      <c r="S54" s="8">
        <f>SUM(S52,S40,S29)</f>
        <v>48349</v>
      </c>
      <c r="T54" s="5"/>
      <c r="U54" s="8">
        <f>SUM(U52,U40,U29)</f>
        <v>15093</v>
      </c>
      <c r="V54" s="5"/>
      <c r="W54" s="8">
        <f>SUM(W52,W40,W29)</f>
        <v>50701</v>
      </c>
      <c r="X54" s="5"/>
      <c r="Y54" s="8">
        <f>SUM(Y52,Y40,Y29)</f>
        <v>16554</v>
      </c>
      <c r="Z54" s="5"/>
      <c r="AA54" s="8">
        <f>SUM(AA52,AA40,AA29)</f>
        <v>29222</v>
      </c>
      <c r="AB54" s="5"/>
      <c r="AC54" s="29"/>
      <c r="AD54" s="21" t="str">
        <f>A54</f>
        <v>Total Salaries and Benefits</v>
      </c>
      <c r="AF54" s="8">
        <f>SUM(AF52,AF40,AF29)</f>
        <v>1574373</v>
      </c>
      <c r="AG54" s="2"/>
      <c r="AH54" s="83">
        <f>IF(AF54=0,"0.00%",(AI54-AF54)/AF54)</f>
        <v>3.8064042002752839E-2</v>
      </c>
      <c r="AI54" s="8">
        <f>SUM(AI52,AI40,AI29)</f>
        <v>1634300</v>
      </c>
      <c r="AJ54" s="5"/>
      <c r="AK54" s="29"/>
      <c r="AL54" s="83">
        <f>IF(AI54=0,"0.00%",(AM54-AI54)/AI54)</f>
        <v>3.9145811662485465E-2</v>
      </c>
      <c r="AM54" s="8">
        <f>SUM(AM52,AM40,AM29)</f>
        <v>1698276</v>
      </c>
      <c r="AN54" s="73"/>
      <c r="AP54" s="83">
        <f>IF(AM54=0,"0.00%",(AQ54-AM54)/AM54)</f>
        <v>3.9089052662818057E-2</v>
      </c>
      <c r="AQ54" s="8">
        <f>SUM(AQ52,AQ40,AQ29)</f>
        <v>1764660</v>
      </c>
      <c r="AR54" s="73"/>
      <c r="AT54" s="83">
        <f>IF(AQ54=0,"0.00%",(AU54-AQ54)/AQ54)</f>
        <v>3.312592794079313E-2</v>
      </c>
      <c r="AU54" s="8">
        <f>SUM(AU52,AU40,AU29)</f>
        <v>1823116</v>
      </c>
      <c r="AV54" s="73"/>
      <c r="AX54" s="83">
        <f>IF(AU54=0,"0.00%",(AY54-AU54)/AU54)</f>
        <v>2.5328064698022505E-2</v>
      </c>
      <c r="AY54" s="8">
        <f>SUM(AY52,AY40,AY29)</f>
        <v>1869292</v>
      </c>
      <c r="AZ54" s="73"/>
      <c r="BB54" s="83">
        <f>IF(AY54=0,"0.00%",(BC54-AY54)/AY54)</f>
        <v>2.5122345786533083E-2</v>
      </c>
      <c r="BC54" s="8">
        <f>SUM(BC52,BC40,BC29)</f>
        <v>1916253</v>
      </c>
      <c r="BD54" s="73"/>
    </row>
    <row r="55" spans="1:56" x14ac:dyDescent="0.25">
      <c r="F55" s="51"/>
      <c r="H55" s="51"/>
      <c r="I55" s="39"/>
      <c r="J55" s="51"/>
      <c r="L55" s="51"/>
      <c r="N55" s="51"/>
      <c r="P55" s="51"/>
      <c r="R55" s="51"/>
      <c r="T55" s="51"/>
      <c r="V55" s="51"/>
      <c r="X55" s="51"/>
      <c r="Z55" s="51"/>
      <c r="AB55" s="51"/>
      <c r="AC55" s="59"/>
      <c r="AF55" s="2"/>
      <c r="AG55" s="2"/>
      <c r="AI55" s="2"/>
      <c r="AJ55" s="36"/>
      <c r="AK55" s="66"/>
      <c r="AM55" s="2"/>
      <c r="AN55" s="73"/>
      <c r="AQ55" s="2"/>
      <c r="AR55" s="73"/>
      <c r="AU55" s="2"/>
      <c r="AV55" s="73"/>
      <c r="AY55" s="2"/>
      <c r="AZ55" s="73"/>
      <c r="BC55" s="2"/>
      <c r="BD55" s="73"/>
    </row>
    <row r="56" spans="1:56" x14ac:dyDescent="0.25">
      <c r="C56" s="3"/>
      <c r="D56" s="30"/>
      <c r="E56" s="2"/>
      <c r="F56" s="36"/>
      <c r="G56" s="2"/>
      <c r="H56" s="36"/>
      <c r="J56" s="36"/>
      <c r="K56" s="2"/>
      <c r="L56" s="36"/>
      <c r="M56" s="2"/>
      <c r="N56" s="36"/>
      <c r="O56" s="2"/>
      <c r="P56" s="36"/>
      <c r="Q56" s="2"/>
      <c r="R56" s="36"/>
      <c r="S56" s="2"/>
      <c r="T56" s="36"/>
      <c r="U56" s="2"/>
      <c r="V56" s="36"/>
      <c r="W56" s="2"/>
      <c r="X56" s="36"/>
      <c r="Y56" s="2"/>
      <c r="Z56" s="36"/>
      <c r="AA56" s="2"/>
      <c r="AB56" s="36"/>
      <c r="AC56" s="66"/>
      <c r="AF56" s="2"/>
      <c r="AG56" s="2"/>
      <c r="AI56" s="2"/>
      <c r="AJ56" s="36"/>
      <c r="AK56" s="66"/>
      <c r="AM56" s="2"/>
      <c r="AN56" s="73"/>
      <c r="AQ56" s="2"/>
      <c r="AR56" s="73"/>
      <c r="AU56" s="2"/>
      <c r="AV56" s="73"/>
      <c r="AY56" s="2"/>
      <c r="AZ56" s="73"/>
      <c r="BC56" s="2"/>
      <c r="BD56" s="73"/>
    </row>
    <row r="57" spans="1:56" x14ac:dyDescent="0.25">
      <c r="A57" s="22" t="s">
        <v>25</v>
      </c>
      <c r="B57" s="4"/>
      <c r="F57" s="51"/>
      <c r="H57" s="51"/>
      <c r="I57" s="39"/>
      <c r="J57" s="51"/>
      <c r="L57" s="51"/>
      <c r="N57" s="51"/>
      <c r="P57" s="51"/>
      <c r="R57" s="51"/>
      <c r="T57" s="51"/>
      <c r="V57" s="51"/>
      <c r="X57" s="51"/>
      <c r="Z57" s="51"/>
      <c r="AB57" s="51"/>
      <c r="AC57" s="59"/>
      <c r="AD57" s="22" t="str">
        <f t="shared" ref="AD57:AD64" si="31">A57</f>
        <v>Supplies</v>
      </c>
      <c r="AE57" s="4"/>
      <c r="AF57" s="2"/>
      <c r="AG57" s="2"/>
      <c r="AI57" s="2"/>
      <c r="AJ57" s="36"/>
      <c r="AK57" s="66"/>
      <c r="AM57" s="2"/>
      <c r="AN57" s="73"/>
      <c r="AQ57" s="2"/>
      <c r="AR57" s="73"/>
      <c r="AU57" s="2"/>
      <c r="AV57" s="73"/>
      <c r="AY57" s="2"/>
      <c r="AZ57" s="73"/>
      <c r="BC57" s="2"/>
      <c r="BD57" s="73"/>
    </row>
    <row r="58" spans="1:56" x14ac:dyDescent="0.25">
      <c r="A58" s="12" t="s">
        <v>24</v>
      </c>
      <c r="B58" s="39" t="s">
        <v>23</v>
      </c>
      <c r="C58" s="3">
        <v>4700</v>
      </c>
      <c r="D58" s="30"/>
      <c r="E58" s="2">
        <v>500</v>
      </c>
      <c r="F58" s="36"/>
      <c r="G58" s="2">
        <v>0</v>
      </c>
      <c r="H58" s="36"/>
      <c r="I58" s="2">
        <v>750</v>
      </c>
      <c r="J58" s="36"/>
      <c r="K58" s="2">
        <v>75</v>
      </c>
      <c r="L58" s="36"/>
      <c r="M58" s="2">
        <v>563</v>
      </c>
      <c r="N58" s="36"/>
      <c r="O58" s="2">
        <v>500</v>
      </c>
      <c r="P58" s="36"/>
      <c r="Q58" s="2">
        <v>999</v>
      </c>
      <c r="R58" s="36"/>
      <c r="S58" s="2">
        <v>0</v>
      </c>
      <c r="T58" s="36"/>
      <c r="U58" s="2">
        <v>691</v>
      </c>
      <c r="V58" s="36"/>
      <c r="W58" s="2">
        <v>335</v>
      </c>
      <c r="X58" s="36"/>
      <c r="Y58" s="2">
        <v>0</v>
      </c>
      <c r="Z58" s="36"/>
      <c r="AA58" s="2">
        <v>800</v>
      </c>
      <c r="AB58" s="36"/>
      <c r="AC58" s="66"/>
      <c r="AD58" s="12" t="str">
        <f t="shared" si="31"/>
        <v>4210</v>
      </c>
      <c r="AE58" s="39" t="str">
        <f t="shared" ref="AE58:AE64" si="32">B58</f>
        <v>Other Books</v>
      </c>
      <c r="AF58" s="2">
        <f>SUM(C58,E58,G58,I58,K58,M58,O58,Q58,S58,U58,W58,Y58,AA58)</f>
        <v>9913</v>
      </c>
      <c r="AG58" s="2"/>
      <c r="AH58" s="83">
        <f t="shared" ref="AH58:AH64" si="33">IF(AF58=0,"0.00%",(AI58-AF58)/AF58)</f>
        <v>3.1070311711893474E-2</v>
      </c>
      <c r="AI58" s="2">
        <f t="shared" ref="AI58:AI64" si="34">ROUND(AF58*(LEFT(AJ58,5)+1),0)</f>
        <v>10221</v>
      </c>
      <c r="AJ58" s="81" t="str">
        <f>TEXT('MYP Assumptions'!E72,"0.00%")&amp;", CPI"</f>
        <v>3.11%, CPI</v>
      </c>
      <c r="AK58" s="66"/>
      <c r="AL58" s="83">
        <f t="shared" ref="AL58:AL65" si="35">IF(AI58=0,"0.00%",(AM58-AI58)/AI58)</f>
        <v>3.1895117894530867E-2</v>
      </c>
      <c r="AM58" s="2">
        <f>ROUND(AI58*(LEFT(AN58,5)+1),0)</f>
        <v>10547</v>
      </c>
      <c r="AN58" s="81" t="str">
        <f>TEXT('MYP Assumptions'!F72,"0.00%")&amp;", CPI"</f>
        <v>3.19%, CPI</v>
      </c>
      <c r="AP58" s="83">
        <f t="shared" ref="AP58:AP65" si="36">IF(AM58=0,"0.00%",(AQ58-AM58)/AM58)</f>
        <v>2.8633734711292311E-2</v>
      </c>
      <c r="AQ58" s="2">
        <f>ROUND(AM58*(LEFT(AR58,5)+1),0)</f>
        <v>10849</v>
      </c>
      <c r="AR58" s="81" t="str">
        <f>TEXT('MYP Assumptions'!G72,"0.00%")&amp;", CPI"</f>
        <v>2.86%, CPI</v>
      </c>
      <c r="AT58" s="83">
        <f t="shared" ref="AT58:AT65" si="37">IF(AQ58=0,"0.00%",(AU58-AQ58)/AQ58)</f>
        <v>2.7283620610194487E-2</v>
      </c>
      <c r="AU58" s="2">
        <f>ROUND(AQ58*(LEFT(AV58,5)+1),0)</f>
        <v>11145</v>
      </c>
      <c r="AV58" s="81" t="str">
        <f>TEXT('MYP Assumptions'!H72,"0.00%")&amp;", CPI"</f>
        <v>2.73%, CPI</v>
      </c>
      <c r="AX58" s="83">
        <f t="shared" ref="AX58:AX65" si="38">IF(AU58=0,"0.00%",(AY58-AU58)/AU58)</f>
        <v>2.7276805742485418E-2</v>
      </c>
      <c r="AY58" s="2">
        <f>ROUND(AU58*(LEFT(AZ58,5)+1),0)</f>
        <v>11449</v>
      </c>
      <c r="AZ58" s="81" t="str">
        <f>TEXT('MYP Assumptions'!I72,"0.00%")&amp;", CPI"</f>
        <v>2.73%, CPI</v>
      </c>
      <c r="BB58" s="83">
        <f t="shared" ref="BB58:BB65" si="39">IF(AY58=0,"0.00%",(BC58-AY58)/AY58)</f>
        <v>2.7338632194951525E-2</v>
      </c>
      <c r="BC58" s="2">
        <f>ROUND(AY58*(LEFT(BD58,5)+1),0)</f>
        <v>11762</v>
      </c>
      <c r="BD58" s="81" t="str">
        <f>TEXT('MYP Assumptions'!J72,"0.00%")&amp;", CPI"</f>
        <v>2.73%, CPI</v>
      </c>
    </row>
    <row r="59" spans="1:56" x14ac:dyDescent="0.25">
      <c r="A59" s="12" t="s">
        <v>94</v>
      </c>
      <c r="B59" s="39" t="s">
        <v>96</v>
      </c>
      <c r="C59" s="3">
        <v>0</v>
      </c>
      <c r="D59" s="30"/>
      <c r="E59" s="2">
        <v>0</v>
      </c>
      <c r="F59" s="36"/>
      <c r="G59" s="2">
        <v>160</v>
      </c>
      <c r="H59" s="36"/>
      <c r="I59" s="2">
        <v>0</v>
      </c>
      <c r="J59" s="36"/>
      <c r="K59" s="2">
        <v>0</v>
      </c>
      <c r="L59" s="36"/>
      <c r="M59" s="2">
        <v>31580</v>
      </c>
      <c r="N59" s="36"/>
      <c r="O59" s="2">
        <v>0</v>
      </c>
      <c r="P59" s="36"/>
      <c r="Q59" s="2">
        <v>0</v>
      </c>
      <c r="R59" s="36"/>
      <c r="S59" s="2">
        <v>0</v>
      </c>
      <c r="T59" s="36"/>
      <c r="U59" s="2">
        <v>0</v>
      </c>
      <c r="V59" s="36"/>
      <c r="W59" s="2">
        <v>0</v>
      </c>
      <c r="X59" s="36"/>
      <c r="Y59" s="2">
        <v>0</v>
      </c>
      <c r="Z59" s="36"/>
      <c r="AA59" s="2">
        <v>0</v>
      </c>
      <c r="AB59" s="36"/>
      <c r="AC59" s="66"/>
      <c r="AD59" s="12" t="str">
        <f t="shared" si="31"/>
        <v>4211</v>
      </c>
      <c r="AE59" s="39" t="str">
        <f t="shared" si="32"/>
        <v>Reference Books</v>
      </c>
      <c r="AF59" s="2">
        <f t="shared" ref="AF59:AF64" si="40">SUM(C59,E59,G59,I59,K59,M59,O59,Q59,S59,U59,W59,Y59,AA59)</f>
        <v>31740</v>
      </c>
      <c r="AG59" s="2"/>
      <c r="AH59" s="83">
        <f t="shared" si="33"/>
        <v>3.1096408317580339E-2</v>
      </c>
      <c r="AI59" s="2">
        <f t="shared" si="34"/>
        <v>32727</v>
      </c>
      <c r="AJ59" s="81" t="str">
        <f>TEXT('MYP Assumptions'!E72,"0.00%")&amp;", CPI"</f>
        <v>3.11%, CPI</v>
      </c>
      <c r="AK59" s="66"/>
      <c r="AL59" s="83">
        <f t="shared" si="35"/>
        <v>3.1900265835548627E-2</v>
      </c>
      <c r="AM59" s="2">
        <f t="shared" ref="AM59:AM64" si="41">ROUND(AI59*(LEFT(AN59,5)+1),0)</f>
        <v>33771</v>
      </c>
      <c r="AN59" s="81" t="str">
        <f>TEXT('MYP Assumptions'!F72,"0.00%")&amp;", CPI"</f>
        <v>3.19%, CPI</v>
      </c>
      <c r="AP59" s="83">
        <f t="shared" si="36"/>
        <v>2.860442391400906E-2</v>
      </c>
      <c r="AQ59" s="2">
        <f t="shared" ref="AQ59:AQ64" si="42">ROUND(AM59*(LEFT(AR59,5)+1),0)</f>
        <v>34737</v>
      </c>
      <c r="AR59" s="81" t="str">
        <f>TEXT('MYP Assumptions'!G72,"0.00%")&amp;", CPI"</f>
        <v>2.86%, CPI</v>
      </c>
      <c r="AT59" s="83">
        <f t="shared" si="37"/>
        <v>2.7290785041886173E-2</v>
      </c>
      <c r="AU59" s="2">
        <f t="shared" ref="AU59:AU64" si="43">ROUND(AQ59*(LEFT(AV59,5)+1),0)</f>
        <v>35685</v>
      </c>
      <c r="AV59" s="81" t="str">
        <f>TEXT('MYP Assumptions'!H72,"0.00%")&amp;", CPI"</f>
        <v>2.73%, CPI</v>
      </c>
      <c r="AX59" s="83">
        <f t="shared" si="38"/>
        <v>2.729438139274205E-2</v>
      </c>
      <c r="AY59" s="2">
        <f t="shared" ref="AY59:AY64" si="44">ROUND(AU59*(LEFT(AZ59,5)+1),0)</f>
        <v>36659</v>
      </c>
      <c r="AZ59" s="81" t="str">
        <f>TEXT('MYP Assumptions'!I72,"0.00%")&amp;", CPI"</f>
        <v>2.73%, CPI</v>
      </c>
      <c r="BB59" s="83">
        <f t="shared" si="39"/>
        <v>2.7305709375596714E-2</v>
      </c>
      <c r="BC59" s="2">
        <f t="shared" ref="BC59:BC64" si="45">ROUND(AY59*(LEFT(BD59,5)+1),0)</f>
        <v>37660</v>
      </c>
      <c r="BD59" s="81" t="str">
        <f>TEXT('MYP Assumptions'!J72,"0.00%")&amp;", CPI"</f>
        <v>2.73%, CPI</v>
      </c>
    </row>
    <row r="60" spans="1:56" x14ac:dyDescent="0.25">
      <c r="A60" s="12" t="s">
        <v>95</v>
      </c>
      <c r="B60" s="39" t="s">
        <v>97</v>
      </c>
      <c r="C60" s="3">
        <v>0</v>
      </c>
      <c r="D60" s="30"/>
      <c r="E60" s="2">
        <v>0</v>
      </c>
      <c r="F60" s="36"/>
      <c r="G60" s="2">
        <v>0</v>
      </c>
      <c r="H60" s="36"/>
      <c r="I60" s="2">
        <v>0</v>
      </c>
      <c r="J60" s="36"/>
      <c r="K60" s="2">
        <v>2747</v>
      </c>
      <c r="L60" s="36"/>
      <c r="M60" s="2">
        <v>0</v>
      </c>
      <c r="N60" s="36"/>
      <c r="O60" s="2">
        <v>0</v>
      </c>
      <c r="P60" s="36"/>
      <c r="Q60" s="2">
        <v>0</v>
      </c>
      <c r="R60" s="36"/>
      <c r="S60" s="2">
        <v>0</v>
      </c>
      <c r="T60" s="36"/>
      <c r="U60" s="2">
        <v>0</v>
      </c>
      <c r="V60" s="36"/>
      <c r="W60" s="2">
        <v>0</v>
      </c>
      <c r="X60" s="36"/>
      <c r="Y60" s="2">
        <v>0</v>
      </c>
      <c r="Z60" s="36"/>
      <c r="AA60" s="2">
        <v>0</v>
      </c>
      <c r="AB60" s="36"/>
      <c r="AC60" s="66"/>
      <c r="AD60" s="12" t="str">
        <f t="shared" si="31"/>
        <v>4212</v>
      </c>
      <c r="AE60" s="39" t="str">
        <f t="shared" si="32"/>
        <v>Library Books</v>
      </c>
      <c r="AF60" s="2">
        <f t="shared" si="40"/>
        <v>2747</v>
      </c>
      <c r="AG60" s="2"/>
      <c r="AH60" s="83">
        <f t="shared" si="33"/>
        <v>3.0942846741900256E-2</v>
      </c>
      <c r="AI60" s="2">
        <f t="shared" si="34"/>
        <v>2832</v>
      </c>
      <c r="AJ60" s="81" t="str">
        <f>TEXT('MYP Assumptions'!E72,"0.00%")&amp;", CPI"</f>
        <v>3.11%, CPI</v>
      </c>
      <c r="AK60" s="66"/>
      <c r="AL60" s="83">
        <f t="shared" si="35"/>
        <v>3.1779661016949151E-2</v>
      </c>
      <c r="AM60" s="2">
        <f t="shared" si="41"/>
        <v>2922</v>
      </c>
      <c r="AN60" s="81" t="str">
        <f>TEXT('MYP Assumptions'!F72,"0.00%")&amp;", CPI"</f>
        <v>3.19%, CPI</v>
      </c>
      <c r="AP60" s="83">
        <f t="shared" si="36"/>
        <v>2.8747433264887063E-2</v>
      </c>
      <c r="AQ60" s="2">
        <f t="shared" si="42"/>
        <v>3006</v>
      </c>
      <c r="AR60" s="81" t="str">
        <f>TEXT('MYP Assumptions'!G72,"0.00%")&amp;", CPI"</f>
        <v>2.86%, CPI</v>
      </c>
      <c r="AT60" s="83">
        <f t="shared" si="37"/>
        <v>2.7278775781769793E-2</v>
      </c>
      <c r="AU60" s="2">
        <f t="shared" si="43"/>
        <v>3088</v>
      </c>
      <c r="AV60" s="81" t="str">
        <f>TEXT('MYP Assumptions'!H72,"0.00%")&amp;", CPI"</f>
        <v>2.73%, CPI</v>
      </c>
      <c r="AX60" s="83">
        <f t="shared" si="38"/>
        <v>2.7202072538860103E-2</v>
      </c>
      <c r="AY60" s="2">
        <f t="shared" si="44"/>
        <v>3172</v>
      </c>
      <c r="AZ60" s="81" t="str">
        <f>TEXT('MYP Assumptions'!I72,"0.00%")&amp;", CPI"</f>
        <v>2.73%, CPI</v>
      </c>
      <c r="BB60" s="83">
        <f t="shared" si="39"/>
        <v>2.742749054224464E-2</v>
      </c>
      <c r="BC60" s="2">
        <f t="shared" si="45"/>
        <v>3259</v>
      </c>
      <c r="BD60" s="81" t="str">
        <f>TEXT('MYP Assumptions'!J72,"0.00%")&amp;", CPI"</f>
        <v>2.73%, CPI</v>
      </c>
    </row>
    <row r="61" spans="1:56" x14ac:dyDescent="0.25">
      <c r="A61" s="12" t="s">
        <v>22</v>
      </c>
      <c r="B61" s="39" t="s">
        <v>21</v>
      </c>
      <c r="C61" s="3">
        <v>10944</v>
      </c>
      <c r="D61" s="30"/>
      <c r="E61" s="2">
        <v>29562</v>
      </c>
      <c r="F61" s="36"/>
      <c r="G61" s="2">
        <v>28979</v>
      </c>
      <c r="H61" s="36"/>
      <c r="I61" s="2">
        <v>51238</v>
      </c>
      <c r="J61" s="36"/>
      <c r="K61" s="2">
        <v>23641</v>
      </c>
      <c r="L61" s="36"/>
      <c r="M61" s="2">
        <v>0</v>
      </c>
      <c r="N61" s="36"/>
      <c r="O61" s="2">
        <v>64011</v>
      </c>
      <c r="P61" s="36"/>
      <c r="Q61" s="2">
        <v>34526</v>
      </c>
      <c r="R61" s="36"/>
      <c r="S61" s="2">
        <v>32648</v>
      </c>
      <c r="T61" s="36"/>
      <c r="U61" s="2">
        <v>38127</v>
      </c>
      <c r="V61" s="36"/>
      <c r="W61" s="2">
        <v>31924</v>
      </c>
      <c r="X61" s="36"/>
      <c r="Y61" s="2">
        <v>25349</v>
      </c>
      <c r="Z61" s="36"/>
      <c r="AA61" s="2">
        <v>22677</v>
      </c>
      <c r="AB61" s="36"/>
      <c r="AC61" s="66"/>
      <c r="AD61" s="12" t="str">
        <f t="shared" si="31"/>
        <v>4310</v>
      </c>
      <c r="AE61" s="39" t="str">
        <f t="shared" si="32"/>
        <v>Inst. Materials</v>
      </c>
      <c r="AF61" s="2">
        <f t="shared" si="40"/>
        <v>393626</v>
      </c>
      <c r="AG61" s="2"/>
      <c r="AH61" s="83">
        <f t="shared" si="33"/>
        <v>3.1100587867671343E-2</v>
      </c>
      <c r="AI61" s="2">
        <f t="shared" si="34"/>
        <v>405868</v>
      </c>
      <c r="AJ61" s="81" t="str">
        <f>TEXT('MYP Assumptions'!E72,"0.00%")&amp;", CPI"</f>
        <v>3.11%, CPI</v>
      </c>
      <c r="AK61" s="66"/>
      <c r="AL61" s="83">
        <f t="shared" si="35"/>
        <v>3.1899533838587915E-2</v>
      </c>
      <c r="AM61" s="2">
        <f t="shared" si="41"/>
        <v>418815</v>
      </c>
      <c r="AN61" s="81" t="str">
        <f>TEXT('MYP Assumptions'!F72,"0.00%")&amp;", CPI"</f>
        <v>3.19%, CPI</v>
      </c>
      <c r="AP61" s="83">
        <f t="shared" si="36"/>
        <v>2.8599739741890812E-2</v>
      </c>
      <c r="AQ61" s="2">
        <f t="shared" si="42"/>
        <v>430793</v>
      </c>
      <c r="AR61" s="81" t="str">
        <f>TEXT('MYP Assumptions'!G72,"0.00%")&amp;", CPI"</f>
        <v>2.86%, CPI</v>
      </c>
      <c r="AT61" s="83">
        <f t="shared" si="37"/>
        <v>2.7300815008600418E-2</v>
      </c>
      <c r="AU61" s="2">
        <f t="shared" si="43"/>
        <v>442554</v>
      </c>
      <c r="AV61" s="81" t="str">
        <f>TEXT('MYP Assumptions'!H72,"0.00%")&amp;", CPI"</f>
        <v>2.73%, CPI</v>
      </c>
      <c r="AX61" s="83">
        <f t="shared" si="38"/>
        <v>2.7300623200784538E-2</v>
      </c>
      <c r="AY61" s="2">
        <f t="shared" si="44"/>
        <v>454636</v>
      </c>
      <c r="AZ61" s="81" t="str">
        <f>TEXT('MYP Assumptions'!I72,"0.00%")&amp;", CPI"</f>
        <v>2.73%, CPI</v>
      </c>
      <c r="BB61" s="83">
        <f t="shared" si="39"/>
        <v>2.730096164843963E-2</v>
      </c>
      <c r="BC61" s="2">
        <f t="shared" si="45"/>
        <v>467048</v>
      </c>
      <c r="BD61" s="81" t="str">
        <f>TEXT('MYP Assumptions'!J72,"0.00%")&amp;", CPI"</f>
        <v>2.73%, CPI</v>
      </c>
    </row>
    <row r="62" spans="1:56" x14ac:dyDescent="0.25">
      <c r="A62" s="12" t="s">
        <v>20</v>
      </c>
      <c r="B62" s="39" t="s">
        <v>19</v>
      </c>
      <c r="C62" s="3">
        <v>9400</v>
      </c>
      <c r="D62" s="30"/>
      <c r="E62" s="2">
        <v>0</v>
      </c>
      <c r="F62" s="36"/>
      <c r="G62" s="2">
        <v>255</v>
      </c>
      <c r="H62" s="36"/>
      <c r="I62" s="2">
        <v>653</v>
      </c>
      <c r="J62" s="36"/>
      <c r="K62" s="2">
        <v>0</v>
      </c>
      <c r="L62" s="36"/>
      <c r="M62" s="2">
        <v>100</v>
      </c>
      <c r="N62" s="36"/>
      <c r="O62" s="2">
        <v>0</v>
      </c>
      <c r="P62" s="36"/>
      <c r="Q62" s="2">
        <v>1250</v>
      </c>
      <c r="R62" s="36"/>
      <c r="S62" s="2">
        <v>7996</v>
      </c>
      <c r="T62" s="36"/>
      <c r="U62" s="2">
        <v>245</v>
      </c>
      <c r="V62" s="36"/>
      <c r="W62" s="2">
        <v>2000</v>
      </c>
      <c r="X62" s="36"/>
      <c r="Y62" s="2">
        <v>3642</v>
      </c>
      <c r="Z62" s="36"/>
      <c r="AA62" s="2">
        <v>350</v>
      </c>
      <c r="AB62" s="36"/>
      <c r="AC62" s="66"/>
      <c r="AD62" s="12" t="str">
        <f t="shared" si="31"/>
        <v xml:space="preserve">4353 </v>
      </c>
      <c r="AE62" s="39" t="str">
        <f t="shared" si="32"/>
        <v>Non-Inst. Materials</v>
      </c>
      <c r="AF62" s="2">
        <f t="shared" si="40"/>
        <v>25891</v>
      </c>
      <c r="AG62" s="2"/>
      <c r="AH62" s="83">
        <f t="shared" si="33"/>
        <v>3.1091885211077207E-2</v>
      </c>
      <c r="AI62" s="2">
        <f t="shared" si="34"/>
        <v>26696</v>
      </c>
      <c r="AJ62" s="81" t="str">
        <f>TEXT('MYP Assumptions'!E72,"0.00%")&amp;", CPI"</f>
        <v>3.11%, CPI</v>
      </c>
      <c r="AK62" s="66"/>
      <c r="AL62" s="83">
        <f t="shared" si="35"/>
        <v>3.1914893617021274E-2</v>
      </c>
      <c r="AM62" s="2">
        <f t="shared" si="41"/>
        <v>27548</v>
      </c>
      <c r="AN62" s="81" t="str">
        <f>TEXT('MYP Assumptions'!F72,"0.00%")&amp;", CPI"</f>
        <v>3.19%, CPI</v>
      </c>
      <c r="AP62" s="83">
        <f t="shared" si="36"/>
        <v>2.8604617395092204E-2</v>
      </c>
      <c r="AQ62" s="2">
        <f t="shared" si="42"/>
        <v>28336</v>
      </c>
      <c r="AR62" s="81" t="str">
        <f>TEXT('MYP Assumptions'!G72,"0.00%")&amp;", CPI"</f>
        <v>2.86%, CPI</v>
      </c>
      <c r="AT62" s="83">
        <f t="shared" si="37"/>
        <v>2.7315076228119708E-2</v>
      </c>
      <c r="AU62" s="2">
        <f t="shared" si="43"/>
        <v>29110</v>
      </c>
      <c r="AV62" s="81" t="str">
        <f>TEXT('MYP Assumptions'!H72,"0.00%")&amp;", CPI"</f>
        <v>2.73%, CPI</v>
      </c>
      <c r="AX62" s="83">
        <f t="shared" si="38"/>
        <v>2.7310202679491583E-2</v>
      </c>
      <c r="AY62" s="2">
        <f t="shared" si="44"/>
        <v>29905</v>
      </c>
      <c r="AZ62" s="81" t="str">
        <f>TEXT('MYP Assumptions'!I72,"0.00%")&amp;", CPI"</f>
        <v>2.73%, CPI</v>
      </c>
      <c r="BB62" s="83">
        <f t="shared" si="39"/>
        <v>2.7286406955358635E-2</v>
      </c>
      <c r="BC62" s="2">
        <f t="shared" si="45"/>
        <v>30721</v>
      </c>
      <c r="BD62" s="81" t="str">
        <f>TEXT('MYP Assumptions'!J72,"0.00%")&amp;", CPI"</f>
        <v>2.73%, CPI</v>
      </c>
    </row>
    <row r="63" spans="1:56" x14ac:dyDescent="0.25">
      <c r="A63" s="12" t="s">
        <v>18</v>
      </c>
      <c r="B63" s="39" t="s">
        <v>17</v>
      </c>
      <c r="C63" s="3">
        <v>785</v>
      </c>
      <c r="D63" s="30"/>
      <c r="E63" s="2">
        <v>4708</v>
      </c>
      <c r="F63" s="36"/>
      <c r="G63" s="2">
        <v>7216</v>
      </c>
      <c r="H63" s="36"/>
      <c r="I63" s="2">
        <v>14879</v>
      </c>
      <c r="J63" s="36"/>
      <c r="K63" s="2">
        <v>0</v>
      </c>
      <c r="L63" s="36"/>
      <c r="M63" s="2">
        <v>6198</v>
      </c>
      <c r="N63" s="36"/>
      <c r="O63" s="2">
        <v>0</v>
      </c>
      <c r="P63" s="36"/>
      <c r="Q63" s="2">
        <v>1573</v>
      </c>
      <c r="R63" s="36"/>
      <c r="S63" s="2">
        <v>2737</v>
      </c>
      <c r="T63" s="36"/>
      <c r="U63" s="2">
        <v>4989</v>
      </c>
      <c r="V63" s="36"/>
      <c r="W63" s="2">
        <v>3000</v>
      </c>
      <c r="X63" s="36"/>
      <c r="Y63" s="2">
        <v>0</v>
      </c>
      <c r="Z63" s="36"/>
      <c r="AA63" s="2">
        <v>0</v>
      </c>
      <c r="AB63" s="36"/>
      <c r="AC63" s="66"/>
      <c r="AD63" s="12" t="str">
        <f t="shared" si="31"/>
        <v>4400</v>
      </c>
      <c r="AE63" s="39" t="str">
        <f t="shared" si="32"/>
        <v>Non-cap. Equipment</v>
      </c>
      <c r="AF63" s="2">
        <f t="shared" si="40"/>
        <v>46085</v>
      </c>
      <c r="AG63" s="2"/>
      <c r="AH63" s="83">
        <f t="shared" si="33"/>
        <v>3.109471628512531E-2</v>
      </c>
      <c r="AI63" s="2">
        <f t="shared" si="34"/>
        <v>47518</v>
      </c>
      <c r="AJ63" s="81" t="str">
        <f>TEXT('MYP Assumptions'!E72,"0.00%")&amp;", CPI"</f>
        <v>3.11%, CPI</v>
      </c>
      <c r="AK63" s="66"/>
      <c r="AL63" s="83">
        <f t="shared" si="35"/>
        <v>3.1903699650658701E-2</v>
      </c>
      <c r="AM63" s="2">
        <f t="shared" si="41"/>
        <v>49034</v>
      </c>
      <c r="AN63" s="81" t="str">
        <f>TEXT('MYP Assumptions'!F72,"0.00%")&amp;", CPI"</f>
        <v>3.19%, CPI</v>
      </c>
      <c r="AP63" s="83">
        <f t="shared" si="36"/>
        <v>2.8592405269812785E-2</v>
      </c>
      <c r="AQ63" s="2">
        <f t="shared" si="42"/>
        <v>50436</v>
      </c>
      <c r="AR63" s="81" t="str">
        <f>TEXT('MYP Assumptions'!G72,"0.00%")&amp;", CPI"</f>
        <v>2.86%, CPI</v>
      </c>
      <c r="AT63" s="83">
        <f t="shared" si="37"/>
        <v>2.7301927194860815E-2</v>
      </c>
      <c r="AU63" s="2">
        <f t="shared" si="43"/>
        <v>51813</v>
      </c>
      <c r="AV63" s="81" t="str">
        <f>TEXT('MYP Assumptions'!H72,"0.00%")&amp;", CPI"</f>
        <v>2.73%, CPI</v>
      </c>
      <c r="AX63" s="83">
        <f t="shared" si="38"/>
        <v>2.7290448343079921E-2</v>
      </c>
      <c r="AY63" s="2">
        <f t="shared" si="44"/>
        <v>53227</v>
      </c>
      <c r="AZ63" s="81" t="str">
        <f>TEXT('MYP Assumptions'!I72,"0.00%")&amp;", CPI"</f>
        <v>2.73%, CPI</v>
      </c>
      <c r="BB63" s="83">
        <f t="shared" si="39"/>
        <v>2.7298175737877392E-2</v>
      </c>
      <c r="BC63" s="2">
        <f t="shared" si="45"/>
        <v>54680</v>
      </c>
      <c r="BD63" s="81" t="str">
        <f>TEXT('MYP Assumptions'!J72,"0.00%")&amp;", CPI"</f>
        <v>2.73%, CPI</v>
      </c>
    </row>
    <row r="64" spans="1:56" x14ac:dyDescent="0.25">
      <c r="A64" s="12">
        <v>4000</v>
      </c>
      <c r="B64" s="11"/>
      <c r="C64" s="3">
        <v>0</v>
      </c>
      <c r="D64" s="30"/>
      <c r="E64" s="2">
        <v>0</v>
      </c>
      <c r="F64" s="36"/>
      <c r="G64" s="2">
        <v>0</v>
      </c>
      <c r="H64" s="36"/>
      <c r="I64" s="2">
        <v>0</v>
      </c>
      <c r="J64" s="36"/>
      <c r="K64" s="2">
        <v>0</v>
      </c>
      <c r="L64" s="36"/>
      <c r="M64" s="2">
        <v>0</v>
      </c>
      <c r="N64" s="36"/>
      <c r="O64" s="2">
        <v>0</v>
      </c>
      <c r="P64" s="36"/>
      <c r="Q64" s="2">
        <v>0</v>
      </c>
      <c r="R64" s="36"/>
      <c r="S64" s="2">
        <v>0</v>
      </c>
      <c r="T64" s="36"/>
      <c r="U64" s="2">
        <v>0</v>
      </c>
      <c r="V64" s="36"/>
      <c r="W64" s="2">
        <v>0</v>
      </c>
      <c r="X64" s="36"/>
      <c r="Y64" s="2">
        <v>0</v>
      </c>
      <c r="Z64" s="36"/>
      <c r="AA64" s="2">
        <v>0</v>
      </c>
      <c r="AB64" s="36"/>
      <c r="AC64" s="66"/>
      <c r="AD64" s="12">
        <f t="shared" si="31"/>
        <v>4000</v>
      </c>
      <c r="AE64" s="11">
        <f t="shared" si="32"/>
        <v>0</v>
      </c>
      <c r="AF64" s="2">
        <f t="shared" si="40"/>
        <v>0</v>
      </c>
      <c r="AG64" s="2"/>
      <c r="AH64" s="83" t="str">
        <f t="shared" si="33"/>
        <v>0.00%</v>
      </c>
      <c r="AI64" s="2">
        <f t="shared" si="34"/>
        <v>0</v>
      </c>
      <c r="AJ64" s="81" t="str">
        <f>TEXT('MYP Assumptions'!E72,"0.00%")&amp;", CPI"</f>
        <v>3.11%, CPI</v>
      </c>
      <c r="AK64" s="66"/>
      <c r="AL64" s="83" t="str">
        <f t="shared" si="35"/>
        <v>0.00%</v>
      </c>
      <c r="AM64" s="2">
        <f t="shared" si="41"/>
        <v>0</v>
      </c>
      <c r="AN64" s="81" t="str">
        <f>TEXT('MYP Assumptions'!F72,"0.00%")&amp;", CPI"</f>
        <v>3.19%, CPI</v>
      </c>
      <c r="AP64" s="83" t="str">
        <f t="shared" si="36"/>
        <v>0.00%</v>
      </c>
      <c r="AQ64" s="2">
        <f t="shared" si="42"/>
        <v>0</v>
      </c>
      <c r="AR64" s="81" t="str">
        <f>TEXT('MYP Assumptions'!G72,"0.00%")&amp;", CPI"</f>
        <v>2.86%, CPI</v>
      </c>
      <c r="AT64" s="83" t="str">
        <f t="shared" si="37"/>
        <v>0.00%</v>
      </c>
      <c r="AU64" s="2">
        <f t="shared" si="43"/>
        <v>0</v>
      </c>
      <c r="AV64" s="81" t="str">
        <f>TEXT('MYP Assumptions'!H72,"0.00%")&amp;", CPI"</f>
        <v>2.73%, CPI</v>
      </c>
      <c r="AX64" s="83" t="str">
        <f t="shared" si="38"/>
        <v>0.00%</v>
      </c>
      <c r="AY64" s="2">
        <f t="shared" si="44"/>
        <v>0</v>
      </c>
      <c r="AZ64" s="81" t="str">
        <f>TEXT('MYP Assumptions'!I72,"0.00%")&amp;", CPI"</f>
        <v>2.73%, CPI</v>
      </c>
      <c r="BB64" s="83" t="str">
        <f t="shared" si="39"/>
        <v>0.00%</v>
      </c>
      <c r="BC64" s="2">
        <f t="shared" si="45"/>
        <v>0</v>
      </c>
      <c r="BD64" s="81" t="str">
        <f>TEXT('MYP Assumptions'!J72,"0.00%")&amp;", CPI"</f>
        <v>2.73%, CPI</v>
      </c>
    </row>
    <row r="65" spans="1:56" x14ac:dyDescent="0.25">
      <c r="A65" s="39"/>
      <c r="C65" s="8">
        <f>SUM(C58:C64)</f>
        <v>25829</v>
      </c>
      <c r="D65" s="33"/>
      <c r="E65" s="8">
        <f>SUM(E58:E64)</f>
        <v>34770</v>
      </c>
      <c r="F65" s="5"/>
      <c r="G65" s="8">
        <f>SUM(G58:G64)</f>
        <v>36610</v>
      </c>
      <c r="H65" s="5"/>
      <c r="I65" s="8">
        <f>SUM(I58:I64)</f>
        <v>67520</v>
      </c>
      <c r="J65" s="5"/>
      <c r="K65" s="8">
        <f>SUM(K58:K64)</f>
        <v>26463</v>
      </c>
      <c r="L65" s="5"/>
      <c r="M65" s="8">
        <f>SUM(M58:M64)</f>
        <v>38441</v>
      </c>
      <c r="N65" s="5"/>
      <c r="O65" s="8">
        <f>SUM(O58:O64)</f>
        <v>64511</v>
      </c>
      <c r="P65" s="5"/>
      <c r="Q65" s="8">
        <f>SUM(Q58:Q64)</f>
        <v>38348</v>
      </c>
      <c r="R65" s="5"/>
      <c r="S65" s="8">
        <f>SUM(S58:S64)</f>
        <v>43381</v>
      </c>
      <c r="T65" s="5"/>
      <c r="U65" s="8">
        <f>SUM(U58:U64)</f>
        <v>44052</v>
      </c>
      <c r="V65" s="5"/>
      <c r="W65" s="8">
        <f>SUM(W58:W64)</f>
        <v>37259</v>
      </c>
      <c r="X65" s="5"/>
      <c r="Y65" s="8">
        <f>SUM(Y58:Y64)</f>
        <v>28991</v>
      </c>
      <c r="Z65" s="5"/>
      <c r="AA65" s="8">
        <f>SUM(AA58:AA64)</f>
        <v>23827</v>
      </c>
      <c r="AB65" s="5"/>
      <c r="AC65" s="29"/>
      <c r="AD65" s="39"/>
      <c r="AF65" s="8">
        <f>SUM(AF58:AF64)</f>
        <v>510002</v>
      </c>
      <c r="AG65" s="2"/>
      <c r="AH65" s="83">
        <f>(AI65-AF65)/AF65</f>
        <v>3.1097917263069555E-2</v>
      </c>
      <c r="AI65" s="8">
        <f>SUM(AI58:AI64)</f>
        <v>525862</v>
      </c>
      <c r="AJ65" s="5"/>
      <c r="AK65" s="29"/>
      <c r="AL65" s="83">
        <f t="shared" si="35"/>
        <v>3.1900004183607104E-2</v>
      </c>
      <c r="AM65" s="8">
        <f>SUM(AM58:AM64)</f>
        <v>542637</v>
      </c>
      <c r="AN65" s="73"/>
      <c r="AP65" s="83">
        <f t="shared" si="36"/>
        <v>2.8601072171635919E-2</v>
      </c>
      <c r="AQ65" s="8">
        <f>SUM(AQ58:AQ64)</f>
        <v>558157</v>
      </c>
      <c r="AR65" s="73"/>
      <c r="AT65" s="83">
        <f t="shared" si="37"/>
        <v>2.7300562386568653E-2</v>
      </c>
      <c r="AU65" s="8">
        <f>SUM(AU58:AU64)</f>
        <v>573395</v>
      </c>
      <c r="AV65" s="73"/>
      <c r="AX65" s="83">
        <f t="shared" si="38"/>
        <v>2.7298807977048981E-2</v>
      </c>
      <c r="AY65" s="8">
        <f>SUM(AY58:AY64)</f>
        <v>589048</v>
      </c>
      <c r="AZ65" s="73"/>
      <c r="BB65" s="83">
        <f t="shared" si="39"/>
        <v>2.7301679998913503E-2</v>
      </c>
      <c r="BC65" s="8">
        <f>SUM(BC58:BC64)</f>
        <v>605130</v>
      </c>
      <c r="BD65" s="73"/>
    </row>
    <row r="66" spans="1:56" x14ac:dyDescent="0.25">
      <c r="C66" s="3"/>
      <c r="D66" s="30"/>
      <c r="E66" s="2"/>
      <c r="F66" s="36"/>
      <c r="G66" s="2"/>
      <c r="H66" s="36"/>
      <c r="J66" s="36"/>
      <c r="K66" s="2"/>
      <c r="L66" s="36"/>
      <c r="M66" s="2"/>
      <c r="N66" s="36"/>
      <c r="O66" s="2"/>
      <c r="P66" s="36"/>
      <c r="Q66" s="2"/>
      <c r="R66" s="36"/>
      <c r="S66" s="2"/>
      <c r="T66" s="36"/>
      <c r="U66" s="2"/>
      <c r="V66" s="36"/>
      <c r="W66" s="2"/>
      <c r="X66" s="36"/>
      <c r="Y66" s="2"/>
      <c r="Z66" s="36"/>
      <c r="AA66" s="2"/>
      <c r="AB66" s="36"/>
      <c r="AC66" s="66"/>
      <c r="AF66" s="2"/>
      <c r="AG66" s="2"/>
      <c r="AI66" s="2"/>
      <c r="AJ66" s="36"/>
      <c r="AK66" s="66"/>
      <c r="AM66" s="2"/>
      <c r="AN66" s="73"/>
      <c r="AQ66" s="2"/>
      <c r="AR66" s="73"/>
      <c r="AU66" s="2"/>
      <c r="AV66" s="73"/>
      <c r="AY66" s="2"/>
      <c r="AZ66" s="73"/>
      <c r="BC66" s="2"/>
      <c r="BD66" s="73"/>
    </row>
    <row r="67" spans="1:56" s="4" customFormat="1" x14ac:dyDescent="0.25">
      <c r="A67" s="21" t="s">
        <v>16</v>
      </c>
      <c r="D67" s="7"/>
      <c r="AC67" s="58"/>
      <c r="AD67" s="21" t="str">
        <f t="shared" ref="AD67:AD80" si="46">A67</f>
        <v>Services, Other Oprtng Exp.</v>
      </c>
      <c r="AG67" s="6"/>
      <c r="AH67" s="26"/>
      <c r="AK67" s="58"/>
      <c r="AN67" s="71"/>
      <c r="AR67" s="71"/>
      <c r="AV67" s="71"/>
      <c r="AZ67" s="71"/>
      <c r="BD67" s="71"/>
    </row>
    <row r="68" spans="1:56" x14ac:dyDescent="0.25">
      <c r="A68" s="12" t="s">
        <v>15</v>
      </c>
      <c r="B68" s="39" t="s">
        <v>14</v>
      </c>
      <c r="C68" s="3">
        <v>154913</v>
      </c>
      <c r="D68" s="30"/>
      <c r="E68" s="2">
        <v>1000</v>
      </c>
      <c r="F68" s="36"/>
      <c r="G68" s="2">
        <v>0</v>
      </c>
      <c r="H68" s="36"/>
      <c r="I68" s="2">
        <v>12000</v>
      </c>
      <c r="J68" s="36"/>
      <c r="K68" s="2">
        <v>9000</v>
      </c>
      <c r="L68" s="36"/>
      <c r="M68" s="2">
        <v>7500</v>
      </c>
      <c r="N68" s="36"/>
      <c r="O68" s="2">
        <v>1971</v>
      </c>
      <c r="P68" s="36"/>
      <c r="Q68" s="2">
        <v>6631</v>
      </c>
      <c r="R68" s="36"/>
      <c r="S68" s="2">
        <v>4000</v>
      </c>
      <c r="T68" s="36"/>
      <c r="U68" s="2">
        <v>3526</v>
      </c>
      <c r="V68" s="36"/>
      <c r="W68" s="2">
        <v>6500</v>
      </c>
      <c r="X68" s="36"/>
      <c r="Y68" s="2">
        <v>800</v>
      </c>
      <c r="Z68" s="36"/>
      <c r="AA68" s="2">
        <v>7000</v>
      </c>
      <c r="AB68" s="36"/>
      <c r="AC68" s="66"/>
      <c r="AD68" s="12" t="str">
        <f t="shared" si="46"/>
        <v>5213</v>
      </c>
      <c r="AE68" s="39" t="str">
        <f t="shared" ref="AE68:AE80" si="47">B68</f>
        <v>Conf. &amp; Travel</v>
      </c>
      <c r="AF68" s="2">
        <f>SUM(C68,E68,G68,I68,K68,M68,O68,Q68,S68,U68,W68,Y68,AA68)</f>
        <v>214841</v>
      </c>
      <c r="AG68" s="2"/>
      <c r="AH68" s="83">
        <f t="shared" ref="AH68:AH74" si="48">IF(AF68=0,"0.00%",(AI68-AF68)/AF68)</f>
        <v>3.1102070833779399E-2</v>
      </c>
      <c r="AI68" s="2">
        <f>ROUND(AF68*(LEFT(AJ68,5)+1),0)</f>
        <v>221523</v>
      </c>
      <c r="AJ68" s="81" t="str">
        <f>TEXT('MYP Assumptions'!E72,"0.00%")&amp;", CPI"</f>
        <v>3.11%, CPI</v>
      </c>
      <c r="AK68" s="66"/>
      <c r="AL68" s="83">
        <f t="shared" ref="AL68:AL81" si="49">IF(AI68=0,"0.00%",(AM68-AI68)/AI68)</f>
        <v>3.1901879263101347E-2</v>
      </c>
      <c r="AM68" s="2">
        <f>ROUND(AI68*(LEFT(AN68,5)+1),0)</f>
        <v>228590</v>
      </c>
      <c r="AN68" s="81" t="str">
        <f>TEXT('MYP Assumptions'!F72,"0.00%")&amp;", CPI"</f>
        <v>3.19%, CPI</v>
      </c>
      <c r="AP68" s="83">
        <f t="shared" ref="AP68:AP81" si="50">IF(AM68=0,"0.00%",(AQ68-AM68)/AM68)</f>
        <v>2.8601426134126601E-2</v>
      </c>
      <c r="AQ68" s="2">
        <f>ROUND(AM68*(LEFT(AR68,5)+1),0)</f>
        <v>235128</v>
      </c>
      <c r="AR68" s="81" t="str">
        <f>TEXT('MYP Assumptions'!G72,"0.00%")&amp;", CPI"</f>
        <v>2.86%, CPI</v>
      </c>
      <c r="AT68" s="83">
        <f t="shared" ref="AT68:AT81" si="51">IF(AQ68=0,"0.00%",(AU68-AQ68)/AQ68)</f>
        <v>2.7300023816814671E-2</v>
      </c>
      <c r="AU68" s="2">
        <f>ROUND(AQ68*(LEFT(AV68,5)+1),0)</f>
        <v>241547</v>
      </c>
      <c r="AV68" s="81" t="str">
        <f>TEXT('MYP Assumptions'!H72,"0.00%")&amp;", CPI"</f>
        <v>2.73%, CPI</v>
      </c>
      <c r="AX68" s="83">
        <f t="shared" ref="AX68:AX81" si="52">IF(AU68=0,"0.00%",(AY68-AU68)/AU68)</f>
        <v>2.7299034970419835E-2</v>
      </c>
      <c r="AY68" s="2">
        <f>ROUND(AU68*(LEFT(AZ68,5)+1),0)</f>
        <v>248141</v>
      </c>
      <c r="AZ68" s="81" t="str">
        <f>TEXT('MYP Assumptions'!I72,"0.00%")&amp;", CPI"</f>
        <v>2.73%, CPI</v>
      </c>
      <c r="BB68" s="83">
        <f t="shared" ref="BB68:BB81" si="53">IF(AY68=0,"0.00%",(BC68-AY68)/AY68)</f>
        <v>2.7298995329268438E-2</v>
      </c>
      <c r="BC68" s="2">
        <f>ROUND(AY68*(LEFT(BD68,5)+1),0)</f>
        <v>254915</v>
      </c>
      <c r="BD68" s="81" t="str">
        <f>TEXT('MYP Assumptions'!J72,"0.00%")&amp;", CPI"</f>
        <v>2.73%, CPI</v>
      </c>
    </row>
    <row r="69" spans="1:56" x14ac:dyDescent="0.25">
      <c r="A69" s="12" t="s">
        <v>13</v>
      </c>
      <c r="B69" s="39" t="s">
        <v>12</v>
      </c>
      <c r="C69" s="3">
        <v>800</v>
      </c>
      <c r="D69" s="30"/>
      <c r="E69" s="2">
        <v>0</v>
      </c>
      <c r="F69" s="36"/>
      <c r="G69" s="2">
        <v>0</v>
      </c>
      <c r="H69" s="36"/>
      <c r="I69" s="2">
        <v>0</v>
      </c>
      <c r="J69" s="36"/>
      <c r="K69" s="2">
        <v>0</v>
      </c>
      <c r="L69" s="36"/>
      <c r="M69" s="2">
        <v>0</v>
      </c>
      <c r="N69" s="36"/>
      <c r="O69" s="2">
        <v>0</v>
      </c>
      <c r="P69" s="36"/>
      <c r="Q69" s="2">
        <v>0</v>
      </c>
      <c r="R69" s="36"/>
      <c r="S69" s="2">
        <v>0</v>
      </c>
      <c r="T69" s="36"/>
      <c r="U69" s="2">
        <v>0</v>
      </c>
      <c r="V69" s="36"/>
      <c r="W69" s="2">
        <v>0</v>
      </c>
      <c r="X69" s="36"/>
      <c r="Y69" s="2">
        <v>0</v>
      </c>
      <c r="Z69" s="36"/>
      <c r="AA69" s="2">
        <v>0</v>
      </c>
      <c r="AB69" s="36"/>
      <c r="AC69" s="66"/>
      <c r="AD69" s="12" t="str">
        <f t="shared" si="46"/>
        <v>5310</v>
      </c>
      <c r="AE69" s="39" t="str">
        <f t="shared" si="47"/>
        <v>Membership/Dues</v>
      </c>
      <c r="AF69" s="2">
        <f t="shared" ref="AF69:AF80" si="54">SUM(C69,E69,G69,I69,K69,M69,O69,Q69,S69,U69,W69,Y69,AA69)</f>
        <v>800</v>
      </c>
      <c r="AG69" s="2"/>
      <c r="AH69" s="83">
        <f t="shared" si="48"/>
        <v>3.125E-2</v>
      </c>
      <c r="AI69" s="2">
        <f>ROUND(AF69*(LEFT(AJ69,5)+1),0)</f>
        <v>825</v>
      </c>
      <c r="AJ69" s="81" t="str">
        <f>TEXT('MYP Assumptions'!E72,"0.00%")&amp;", CPI"</f>
        <v>3.11%, CPI</v>
      </c>
      <c r="AK69" s="66"/>
      <c r="AL69" s="83">
        <f t="shared" si="49"/>
        <v>3.1515151515151517E-2</v>
      </c>
      <c r="AM69" s="2">
        <f t="shared" ref="AM69:AM74" si="55">ROUND(AI69*(LEFT(AN69,5)+1),0)</f>
        <v>851</v>
      </c>
      <c r="AN69" s="81" t="str">
        <f>TEXT('MYP Assumptions'!F72,"0.00%")&amp;", CPI"</f>
        <v>3.19%, CPI</v>
      </c>
      <c r="AP69" s="83">
        <f t="shared" si="50"/>
        <v>2.8202115158636899E-2</v>
      </c>
      <c r="AQ69" s="2">
        <f t="shared" ref="AQ69:AQ80" si="56">ROUND(AM69*(LEFT(AR69,5)+1),0)</f>
        <v>875</v>
      </c>
      <c r="AR69" s="81" t="str">
        <f>TEXT('MYP Assumptions'!G72,"0.00%")&amp;", CPI"</f>
        <v>2.86%, CPI</v>
      </c>
      <c r="AT69" s="83">
        <f t="shared" si="51"/>
        <v>2.7428571428571427E-2</v>
      </c>
      <c r="AU69" s="2">
        <f t="shared" ref="AU69:AU80" si="57">ROUND(AQ69*(LEFT(AV69,5)+1),0)</f>
        <v>899</v>
      </c>
      <c r="AV69" s="81" t="str">
        <f>TEXT('MYP Assumptions'!H72,"0.00%")&amp;", CPI"</f>
        <v>2.73%, CPI</v>
      </c>
      <c r="AX69" s="83">
        <f t="shared" si="52"/>
        <v>2.7808676307007785E-2</v>
      </c>
      <c r="AY69" s="2">
        <f t="shared" ref="AY69:AY80" si="58">ROUND(AU69*(LEFT(AZ69,5)+1),0)</f>
        <v>924</v>
      </c>
      <c r="AZ69" s="81" t="str">
        <f>TEXT('MYP Assumptions'!I72,"0.00%")&amp;", CPI"</f>
        <v>2.73%, CPI</v>
      </c>
      <c r="BB69" s="83">
        <f t="shared" si="53"/>
        <v>2.7056277056277056E-2</v>
      </c>
      <c r="BC69" s="2">
        <f t="shared" ref="BC69:BC80" si="59">ROUND(AY69*(LEFT(BD69,5)+1),0)</f>
        <v>949</v>
      </c>
      <c r="BD69" s="81" t="str">
        <f>TEXT('MYP Assumptions'!J72,"0.00%")&amp;", CPI"</f>
        <v>2.73%, CPI</v>
      </c>
    </row>
    <row r="70" spans="1:56" x14ac:dyDescent="0.25">
      <c r="A70" s="12" t="s">
        <v>128</v>
      </c>
      <c r="B70" s="39" t="s">
        <v>129</v>
      </c>
      <c r="C70" s="3">
        <v>0</v>
      </c>
      <c r="D70" s="30"/>
      <c r="E70" s="2">
        <v>0</v>
      </c>
      <c r="F70" s="36"/>
      <c r="G70" s="2">
        <v>0</v>
      </c>
      <c r="H70" s="36"/>
      <c r="I70" s="2">
        <v>0</v>
      </c>
      <c r="J70" s="36"/>
      <c r="K70" s="2">
        <v>0</v>
      </c>
      <c r="L70" s="36"/>
      <c r="M70" s="2">
        <v>0</v>
      </c>
      <c r="N70" s="36"/>
      <c r="O70" s="2">
        <v>0</v>
      </c>
      <c r="P70" s="36"/>
      <c r="Q70" s="2">
        <v>0</v>
      </c>
      <c r="R70" s="36"/>
      <c r="S70" s="2">
        <v>0</v>
      </c>
      <c r="T70" s="36"/>
      <c r="U70" s="2">
        <v>0</v>
      </c>
      <c r="V70" s="36"/>
      <c r="W70" s="2">
        <v>1500</v>
      </c>
      <c r="X70" s="36"/>
      <c r="Y70" s="2"/>
      <c r="Z70" s="36"/>
      <c r="AA70" s="2"/>
      <c r="AB70" s="36"/>
      <c r="AC70" s="66"/>
      <c r="AD70" s="12" t="str">
        <f t="shared" si="46"/>
        <v>5607</v>
      </c>
      <c r="AE70" s="39" t="str">
        <f t="shared" si="47"/>
        <v>Repairs-Other</v>
      </c>
      <c r="AF70" s="2">
        <f t="shared" si="54"/>
        <v>1500</v>
      </c>
      <c r="AG70" s="2"/>
      <c r="AH70" s="83">
        <f t="shared" si="48"/>
        <v>3.1333333333333331E-2</v>
      </c>
      <c r="AI70" s="2">
        <f t="shared" ref="AI70:AI75" si="60">ROUND(AF70*(LEFT(AJ70,5)+1),0)</f>
        <v>1547</v>
      </c>
      <c r="AJ70" s="81" t="str">
        <f>TEXT('MYP Assumptions'!E72,"0.00%")&amp;", CPI"</f>
        <v>3.11%, CPI</v>
      </c>
      <c r="AK70" s="66"/>
      <c r="AL70" s="83">
        <f t="shared" si="49"/>
        <v>3.1674208144796379E-2</v>
      </c>
      <c r="AM70" s="2">
        <f t="shared" si="55"/>
        <v>1596</v>
      </c>
      <c r="AN70" s="81" t="str">
        <f>TEXT('MYP Assumptions'!F72,"0.00%")&amp;", CPI"</f>
        <v>3.19%, CPI</v>
      </c>
      <c r="AP70" s="83">
        <f t="shared" si="50"/>
        <v>2.882205513784461E-2</v>
      </c>
      <c r="AQ70" s="2">
        <f t="shared" si="56"/>
        <v>1642</v>
      </c>
      <c r="AR70" s="81" t="str">
        <f>TEXT('MYP Assumptions'!G72,"0.00%")&amp;", CPI"</f>
        <v>2.86%, CPI</v>
      </c>
      <c r="AT70" s="83">
        <f t="shared" si="51"/>
        <v>2.7405602923264313E-2</v>
      </c>
      <c r="AU70" s="2">
        <f t="shared" si="57"/>
        <v>1687</v>
      </c>
      <c r="AV70" s="81" t="str">
        <f>TEXT('MYP Assumptions'!H72,"0.00%")&amp;", CPI"</f>
        <v>2.73%, CPI</v>
      </c>
      <c r="AX70" s="83">
        <f t="shared" si="52"/>
        <v>2.7267338470657973E-2</v>
      </c>
      <c r="AY70" s="2">
        <f t="shared" si="58"/>
        <v>1733</v>
      </c>
      <c r="AZ70" s="81" t="str">
        <f>TEXT('MYP Assumptions'!I72,"0.00%")&amp;", CPI"</f>
        <v>2.73%, CPI</v>
      </c>
      <c r="BB70" s="83">
        <f t="shared" si="53"/>
        <v>2.7120600115406807E-2</v>
      </c>
      <c r="BC70" s="2">
        <f t="shared" si="59"/>
        <v>1780</v>
      </c>
      <c r="BD70" s="81" t="str">
        <f>TEXT('MYP Assumptions'!J72,"0.00%")&amp;", CPI"</f>
        <v>2.73%, CPI</v>
      </c>
    </row>
    <row r="71" spans="1:56" x14ac:dyDescent="0.25">
      <c r="A71" s="12" t="s">
        <v>11</v>
      </c>
      <c r="B71" s="39" t="s">
        <v>10</v>
      </c>
      <c r="C71" s="3">
        <v>3199</v>
      </c>
      <c r="D71" s="30"/>
      <c r="E71" s="2">
        <v>1000</v>
      </c>
      <c r="F71" s="36"/>
      <c r="G71" s="2">
        <v>0</v>
      </c>
      <c r="H71" s="36"/>
      <c r="I71" s="2">
        <v>0</v>
      </c>
      <c r="J71" s="36"/>
      <c r="K71" s="2">
        <v>0</v>
      </c>
      <c r="L71" s="36"/>
      <c r="M71" s="2">
        <v>0</v>
      </c>
      <c r="N71" s="36"/>
      <c r="O71" s="2">
        <v>0</v>
      </c>
      <c r="P71" s="36"/>
      <c r="Q71" s="2">
        <v>1000</v>
      </c>
      <c r="R71" s="36"/>
      <c r="S71" s="2">
        <v>0</v>
      </c>
      <c r="T71" s="36"/>
      <c r="U71" s="2">
        <v>0</v>
      </c>
      <c r="V71" s="36"/>
      <c r="W71" s="2">
        <v>0</v>
      </c>
      <c r="X71" s="36"/>
      <c r="Y71" s="2">
        <v>0</v>
      </c>
      <c r="Z71" s="36"/>
      <c r="AA71" s="2">
        <v>0</v>
      </c>
      <c r="AB71" s="36"/>
      <c r="AC71" s="66"/>
      <c r="AD71" s="12" t="str">
        <f t="shared" si="46"/>
        <v>5725</v>
      </c>
      <c r="AE71" s="39" t="str">
        <f t="shared" si="47"/>
        <v>Field Trip Transp.</v>
      </c>
      <c r="AF71" s="2">
        <f t="shared" si="54"/>
        <v>5199</v>
      </c>
      <c r="AG71" s="2"/>
      <c r="AH71" s="83">
        <f t="shared" si="48"/>
        <v>3.1159838430467397E-2</v>
      </c>
      <c r="AI71" s="2">
        <f t="shared" si="60"/>
        <v>5361</v>
      </c>
      <c r="AJ71" s="81" t="str">
        <f>TEXT('MYP Assumptions'!E72,"0.00%")&amp;", CPI"</f>
        <v>3.11%, CPI</v>
      </c>
      <c r="AK71" s="66"/>
      <c r="AL71" s="83">
        <f t="shared" si="49"/>
        <v>3.1897034135422497E-2</v>
      </c>
      <c r="AM71" s="2">
        <f t="shared" si="55"/>
        <v>5532</v>
      </c>
      <c r="AN71" s="81" t="str">
        <f>TEXT('MYP Assumptions'!F72,"0.00%")&amp;", CPI"</f>
        <v>3.19%, CPI</v>
      </c>
      <c r="AP71" s="83">
        <f t="shared" si="50"/>
        <v>2.8561099060014462E-2</v>
      </c>
      <c r="AQ71" s="2">
        <f t="shared" si="56"/>
        <v>5690</v>
      </c>
      <c r="AR71" s="81" t="str">
        <f>TEXT('MYP Assumptions'!G72,"0.00%")&amp;", CPI"</f>
        <v>2.86%, CPI</v>
      </c>
      <c r="AT71" s="83">
        <f t="shared" si="51"/>
        <v>2.7240773286467488E-2</v>
      </c>
      <c r="AU71" s="2">
        <f t="shared" si="57"/>
        <v>5845</v>
      </c>
      <c r="AV71" s="81" t="str">
        <f>TEXT('MYP Assumptions'!H72,"0.00%")&amp;", CPI"</f>
        <v>2.73%, CPI</v>
      </c>
      <c r="AX71" s="83">
        <f t="shared" si="52"/>
        <v>2.7373823781009408E-2</v>
      </c>
      <c r="AY71" s="2">
        <f t="shared" si="58"/>
        <v>6005</v>
      </c>
      <c r="AZ71" s="81" t="str">
        <f>TEXT('MYP Assumptions'!I72,"0.00%")&amp;", CPI"</f>
        <v>2.73%, CPI</v>
      </c>
      <c r="BB71" s="83">
        <f t="shared" si="53"/>
        <v>2.7310574521232308E-2</v>
      </c>
      <c r="BC71" s="2">
        <f t="shared" si="59"/>
        <v>6169</v>
      </c>
      <c r="BD71" s="81" t="str">
        <f>TEXT('MYP Assumptions'!J72,"0.00%")&amp;", CPI"</f>
        <v>2.73%, CPI</v>
      </c>
    </row>
    <row r="72" spans="1:56" x14ac:dyDescent="0.25">
      <c r="A72" s="12" t="s">
        <v>120</v>
      </c>
      <c r="B72" s="39" t="s">
        <v>121</v>
      </c>
      <c r="C72" s="3">
        <v>0</v>
      </c>
      <c r="D72" s="30"/>
      <c r="E72" s="2">
        <v>0</v>
      </c>
      <c r="F72" s="36"/>
      <c r="G72" s="2">
        <v>0</v>
      </c>
      <c r="H72" s="36"/>
      <c r="I72" s="2">
        <v>0</v>
      </c>
      <c r="J72" s="36"/>
      <c r="K72" s="2">
        <v>0</v>
      </c>
      <c r="L72" s="36"/>
      <c r="M72" s="2">
        <v>0</v>
      </c>
      <c r="N72" s="36"/>
      <c r="O72" s="2">
        <v>0</v>
      </c>
      <c r="P72" s="36"/>
      <c r="Q72" s="2">
        <v>750</v>
      </c>
      <c r="R72" s="36"/>
      <c r="S72" s="2">
        <v>4000</v>
      </c>
      <c r="T72" s="36"/>
      <c r="U72" s="2">
        <v>0</v>
      </c>
      <c r="V72" s="36"/>
      <c r="W72" s="2"/>
      <c r="X72" s="36"/>
      <c r="Y72" s="2"/>
      <c r="Z72" s="36"/>
      <c r="AA72" s="2"/>
      <c r="AB72" s="36"/>
      <c r="AC72" s="66"/>
      <c r="AD72" s="12" t="str">
        <f t="shared" si="46"/>
        <v>5752</v>
      </c>
      <c r="AE72" s="39" t="str">
        <f t="shared" si="47"/>
        <v>Direct Srvc-Food Srvc.</v>
      </c>
      <c r="AF72" s="2">
        <f t="shared" si="54"/>
        <v>4750</v>
      </c>
      <c r="AG72" s="2"/>
      <c r="AH72" s="83">
        <f t="shared" si="48"/>
        <v>3.1157894736842107E-2</v>
      </c>
      <c r="AI72" s="2">
        <f t="shared" si="60"/>
        <v>4898</v>
      </c>
      <c r="AJ72" s="81" t="str">
        <f>TEXT('MYP Assumptions'!E72,"0.00%")&amp;", CPI"</f>
        <v>3.11%, CPI</v>
      </c>
      <c r="AK72" s="66"/>
      <c r="AL72" s="83">
        <f t="shared" si="49"/>
        <v>3.1849734585545124E-2</v>
      </c>
      <c r="AM72" s="2">
        <f t="shared" si="55"/>
        <v>5054</v>
      </c>
      <c r="AN72" s="81" t="str">
        <f>TEXT('MYP Assumptions'!F72,"0.00%")&amp;", CPI"</f>
        <v>3.19%, CPI</v>
      </c>
      <c r="AP72" s="83">
        <f t="shared" si="50"/>
        <v>2.8690146418678276E-2</v>
      </c>
      <c r="AQ72" s="2">
        <f t="shared" si="56"/>
        <v>5199</v>
      </c>
      <c r="AR72" s="81" t="str">
        <f>TEXT('MYP Assumptions'!G72,"0.00%")&amp;", CPI"</f>
        <v>2.86%, CPI</v>
      </c>
      <c r="AT72" s="83">
        <f t="shared" si="51"/>
        <v>2.7312944797076362E-2</v>
      </c>
      <c r="AU72" s="2">
        <f t="shared" si="57"/>
        <v>5341</v>
      </c>
      <c r="AV72" s="81" t="str">
        <f>TEXT('MYP Assumptions'!H72,"0.00%")&amp;", CPI"</f>
        <v>2.73%, CPI</v>
      </c>
      <c r="AX72" s="83">
        <f t="shared" si="52"/>
        <v>2.7335704924171502E-2</v>
      </c>
      <c r="AY72" s="2">
        <f t="shared" si="58"/>
        <v>5487</v>
      </c>
      <c r="AZ72" s="81" t="str">
        <f>TEXT('MYP Assumptions'!I72,"0.00%")&amp;", CPI"</f>
        <v>2.73%, CPI</v>
      </c>
      <c r="BB72" s="83">
        <f t="shared" si="53"/>
        <v>2.7337342810278841E-2</v>
      </c>
      <c r="BC72" s="2">
        <f t="shared" si="59"/>
        <v>5637</v>
      </c>
      <c r="BD72" s="81" t="str">
        <f>TEXT('MYP Assumptions'!J72,"0.00%")&amp;", CPI"</f>
        <v>2.73%, CPI</v>
      </c>
    </row>
    <row r="73" spans="1:56" x14ac:dyDescent="0.25">
      <c r="A73" s="12" t="s">
        <v>126</v>
      </c>
      <c r="B73" s="39" t="s">
        <v>127</v>
      </c>
      <c r="C73" s="3">
        <v>0</v>
      </c>
      <c r="D73" s="30"/>
      <c r="E73" s="2">
        <v>0</v>
      </c>
      <c r="F73" s="36"/>
      <c r="G73" s="2">
        <v>0</v>
      </c>
      <c r="H73" s="36"/>
      <c r="I73" s="2">
        <v>0</v>
      </c>
      <c r="J73" s="36"/>
      <c r="K73" s="2">
        <v>0</v>
      </c>
      <c r="L73" s="36"/>
      <c r="M73" s="2">
        <v>0</v>
      </c>
      <c r="N73" s="36"/>
      <c r="O73" s="2">
        <v>0</v>
      </c>
      <c r="P73" s="36"/>
      <c r="Q73" s="2">
        <v>0</v>
      </c>
      <c r="R73" s="36"/>
      <c r="S73" s="2">
        <v>0</v>
      </c>
      <c r="T73" s="36"/>
      <c r="U73" s="2">
        <v>640</v>
      </c>
      <c r="V73" s="36"/>
      <c r="W73" s="2"/>
      <c r="X73" s="36"/>
      <c r="Y73" s="2"/>
      <c r="Z73" s="36"/>
      <c r="AA73" s="2"/>
      <c r="AB73" s="36"/>
      <c r="AC73" s="66"/>
      <c r="AD73" s="12" t="str">
        <f t="shared" si="46"/>
        <v>5806</v>
      </c>
      <c r="AE73" s="39" t="str">
        <f t="shared" si="47"/>
        <v>Outside Interpreter</v>
      </c>
      <c r="AF73" s="2">
        <f t="shared" si="54"/>
        <v>640</v>
      </c>
      <c r="AG73" s="2"/>
      <c r="AH73" s="83">
        <f t="shared" si="48"/>
        <v>3.125E-2</v>
      </c>
      <c r="AI73" s="2">
        <f t="shared" si="60"/>
        <v>660</v>
      </c>
      <c r="AJ73" s="81" t="str">
        <f>TEXT('MYP Assumptions'!E72,"0.00%")&amp;", CPI"</f>
        <v>3.11%, CPI</v>
      </c>
      <c r="AK73" s="66"/>
      <c r="AL73" s="83">
        <f t="shared" si="49"/>
        <v>3.1818181818181815E-2</v>
      </c>
      <c r="AM73" s="2">
        <f t="shared" si="55"/>
        <v>681</v>
      </c>
      <c r="AN73" s="81" t="str">
        <f>TEXT('MYP Assumptions'!F72,"0.00%")&amp;", CPI"</f>
        <v>3.19%, CPI</v>
      </c>
      <c r="AP73" s="83">
        <f t="shared" si="50"/>
        <v>2.7900146842878122E-2</v>
      </c>
      <c r="AQ73" s="2">
        <f t="shared" si="56"/>
        <v>700</v>
      </c>
      <c r="AR73" s="81" t="str">
        <f>TEXT('MYP Assumptions'!G72,"0.00%")&amp;", CPI"</f>
        <v>2.86%, CPI</v>
      </c>
      <c r="AT73" s="83">
        <f t="shared" si="51"/>
        <v>2.7142857142857142E-2</v>
      </c>
      <c r="AU73" s="2">
        <f t="shared" si="57"/>
        <v>719</v>
      </c>
      <c r="AV73" s="81" t="str">
        <f>TEXT('MYP Assumptions'!H72,"0.00%")&amp;", CPI"</f>
        <v>2.73%, CPI</v>
      </c>
      <c r="AX73" s="83">
        <f t="shared" si="52"/>
        <v>2.7816411682892908E-2</v>
      </c>
      <c r="AY73" s="2">
        <f t="shared" si="58"/>
        <v>739</v>
      </c>
      <c r="AZ73" s="81" t="str">
        <f>TEXT('MYP Assumptions'!I72,"0.00%")&amp;", CPI"</f>
        <v>2.73%, CPI</v>
      </c>
      <c r="BB73" s="83">
        <f t="shared" si="53"/>
        <v>2.7063599458728011E-2</v>
      </c>
      <c r="BC73" s="2">
        <f t="shared" si="59"/>
        <v>759</v>
      </c>
      <c r="BD73" s="81" t="str">
        <f>TEXT('MYP Assumptions'!J72,"0.00%")&amp;", CPI"</f>
        <v>2.73%, CPI</v>
      </c>
    </row>
    <row r="74" spans="1:56" x14ac:dyDescent="0.25">
      <c r="A74" s="12" t="s">
        <v>9</v>
      </c>
      <c r="B74" s="39" t="s">
        <v>8</v>
      </c>
      <c r="C74" s="3">
        <v>27678.37</v>
      </c>
      <c r="D74" s="30"/>
      <c r="E74" s="2">
        <v>0</v>
      </c>
      <c r="F74" s="36"/>
      <c r="G74" s="2">
        <v>0</v>
      </c>
      <c r="H74" s="36"/>
      <c r="I74" s="2">
        <v>0</v>
      </c>
      <c r="J74" s="36"/>
      <c r="K74" s="2">
        <v>4950</v>
      </c>
      <c r="L74" s="36"/>
      <c r="M74" s="2">
        <v>0</v>
      </c>
      <c r="N74" s="36"/>
      <c r="O74" s="2">
        <v>0</v>
      </c>
      <c r="P74" s="36"/>
      <c r="Q74" s="2">
        <v>0</v>
      </c>
      <c r="R74" s="36"/>
      <c r="S74" s="2">
        <v>0</v>
      </c>
      <c r="T74" s="36"/>
      <c r="U74" s="2">
        <v>0</v>
      </c>
      <c r="V74" s="36"/>
      <c r="W74" s="2">
        <v>500</v>
      </c>
      <c r="X74" s="36"/>
      <c r="Y74" s="2">
        <v>5572</v>
      </c>
      <c r="Z74" s="36"/>
      <c r="AA74" s="2">
        <v>0</v>
      </c>
      <c r="AB74" s="36"/>
      <c r="AC74" s="66"/>
      <c r="AD74" s="12" t="str">
        <f t="shared" si="46"/>
        <v>5807</v>
      </c>
      <c r="AE74" s="39" t="str">
        <f t="shared" si="47"/>
        <v>Consultants</v>
      </c>
      <c r="AF74" s="2">
        <f t="shared" si="54"/>
        <v>38700.369999999995</v>
      </c>
      <c r="AG74" s="2"/>
      <c r="AH74" s="83">
        <f t="shared" si="48"/>
        <v>3.1101253037115788E-2</v>
      </c>
      <c r="AI74" s="2">
        <f t="shared" si="60"/>
        <v>39904</v>
      </c>
      <c r="AJ74" s="81" t="str">
        <f>TEXT('MYP Assumptions'!E72,"0.00%")&amp;", CPI"</f>
        <v>3.11%, CPI</v>
      </c>
      <c r="AK74" s="66"/>
      <c r="AL74" s="83">
        <f t="shared" si="49"/>
        <v>3.190156375300722E-2</v>
      </c>
      <c r="AM74" s="2">
        <f t="shared" si="55"/>
        <v>41177</v>
      </c>
      <c r="AN74" s="81" t="str">
        <f>TEXT('MYP Assumptions'!F72,"0.00%")&amp;", CPI"</f>
        <v>3.19%, CPI</v>
      </c>
      <c r="AP74" s="83">
        <f t="shared" si="50"/>
        <v>2.8608203608810744E-2</v>
      </c>
      <c r="AQ74" s="2">
        <f t="shared" si="56"/>
        <v>42355</v>
      </c>
      <c r="AR74" s="81" t="str">
        <f>TEXT('MYP Assumptions'!G72,"0.00%")&amp;", CPI"</f>
        <v>2.86%, CPI</v>
      </c>
      <c r="AT74" s="83">
        <f t="shared" si="51"/>
        <v>2.7293117695667571E-2</v>
      </c>
      <c r="AU74" s="2">
        <f t="shared" si="57"/>
        <v>43511</v>
      </c>
      <c r="AV74" s="81" t="str">
        <f>TEXT('MYP Assumptions'!H72,"0.00%")&amp;", CPI"</f>
        <v>2.73%, CPI</v>
      </c>
      <c r="AX74" s="83">
        <f t="shared" si="52"/>
        <v>2.7303440509296499E-2</v>
      </c>
      <c r="AY74" s="2">
        <f t="shared" si="58"/>
        <v>44699</v>
      </c>
      <c r="AZ74" s="81" t="str">
        <f>TEXT('MYP Assumptions'!I72,"0.00%")&amp;", CPI"</f>
        <v>2.73%, CPI</v>
      </c>
      <c r="BB74" s="83">
        <f t="shared" si="53"/>
        <v>2.7293675473724244E-2</v>
      </c>
      <c r="BC74" s="2">
        <f t="shared" si="59"/>
        <v>45919</v>
      </c>
      <c r="BD74" s="81" t="str">
        <f>TEXT('MYP Assumptions'!J72,"0.00%")&amp;", CPI"</f>
        <v>2.73%, CPI</v>
      </c>
    </row>
    <row r="75" spans="1:56" x14ac:dyDescent="0.25">
      <c r="A75" s="12" t="s">
        <v>122</v>
      </c>
      <c r="B75" s="39" t="s">
        <v>123</v>
      </c>
      <c r="C75" s="3">
        <v>0</v>
      </c>
      <c r="D75" s="30"/>
      <c r="E75" s="2">
        <v>0</v>
      </c>
      <c r="F75" s="36"/>
      <c r="G75" s="2">
        <v>0</v>
      </c>
      <c r="H75" s="36"/>
      <c r="I75" s="2">
        <v>0</v>
      </c>
      <c r="J75" s="36"/>
      <c r="K75" s="2">
        <v>0</v>
      </c>
      <c r="L75" s="36"/>
      <c r="M75" s="2">
        <v>0</v>
      </c>
      <c r="N75" s="36"/>
      <c r="O75" s="2">
        <v>0</v>
      </c>
      <c r="P75" s="36"/>
      <c r="Q75" s="2">
        <v>390</v>
      </c>
      <c r="R75" s="36"/>
      <c r="S75" s="2">
        <v>0</v>
      </c>
      <c r="T75" s="36"/>
      <c r="U75" s="2">
        <v>0</v>
      </c>
      <c r="V75" s="36"/>
      <c r="W75" s="2">
        <v>0</v>
      </c>
      <c r="X75" s="36"/>
      <c r="Y75" s="2">
        <v>0</v>
      </c>
      <c r="Z75" s="36"/>
      <c r="AA75" s="2"/>
      <c r="AB75" s="36"/>
      <c r="AC75" s="66"/>
      <c r="AD75" s="12" t="str">
        <f t="shared" si="46"/>
        <v>5809</v>
      </c>
      <c r="AE75" s="39" t="str">
        <f t="shared" si="47"/>
        <v>Fees</v>
      </c>
      <c r="AF75" s="2">
        <f t="shared" si="54"/>
        <v>390</v>
      </c>
      <c r="AG75" s="2"/>
      <c r="AH75" s="83">
        <f t="shared" ref="AH75:AH80" si="61">IF(AF75=0,"0.00%",(AI75-AF75)/AF75)</f>
        <v>3.0769230769230771E-2</v>
      </c>
      <c r="AI75" s="2">
        <f t="shared" si="60"/>
        <v>402</v>
      </c>
      <c r="AJ75" s="81" t="str">
        <f>TEXT('MYP Assumptions'!E72,"0.00%")&amp;", CPI"</f>
        <v>3.11%, CPI</v>
      </c>
      <c r="AK75" s="66"/>
      <c r="AL75" s="83">
        <f t="shared" si="49"/>
        <v>3.2338308457711441E-2</v>
      </c>
      <c r="AM75" s="2">
        <f t="shared" ref="AM75:AM80" si="62">ROUND(AI75*(LEFT(AN75,5)+1),0)</f>
        <v>415</v>
      </c>
      <c r="AN75" s="81" t="str">
        <f>TEXT('MYP Assumptions'!F72,"0.00%")&amp;", CPI"</f>
        <v>3.19%, CPI</v>
      </c>
      <c r="AP75" s="83">
        <f t="shared" si="50"/>
        <v>2.891566265060241E-2</v>
      </c>
      <c r="AQ75" s="2">
        <f t="shared" si="56"/>
        <v>427</v>
      </c>
      <c r="AR75" s="81" t="str">
        <f>TEXT('MYP Assumptions'!G72,"0.00%")&amp;", CPI"</f>
        <v>2.86%, CPI</v>
      </c>
      <c r="AT75" s="83">
        <f t="shared" si="51"/>
        <v>2.8103044496487119E-2</v>
      </c>
      <c r="AU75" s="2">
        <f t="shared" si="57"/>
        <v>439</v>
      </c>
      <c r="AV75" s="81" t="str">
        <f>TEXT('MYP Assumptions'!H72,"0.00%")&amp;", CPI"</f>
        <v>2.73%, CPI</v>
      </c>
      <c r="AX75" s="83">
        <f t="shared" si="52"/>
        <v>2.7334851936218679E-2</v>
      </c>
      <c r="AY75" s="2">
        <f t="shared" si="58"/>
        <v>451</v>
      </c>
      <c r="AZ75" s="81" t="str">
        <f>TEXT('MYP Assumptions'!I72,"0.00%")&amp;", CPI"</f>
        <v>2.73%, CPI</v>
      </c>
      <c r="BB75" s="83">
        <f t="shared" si="53"/>
        <v>2.6607538802660754E-2</v>
      </c>
      <c r="BC75" s="2">
        <f t="shared" si="59"/>
        <v>463</v>
      </c>
      <c r="BD75" s="81" t="str">
        <f>TEXT('MYP Assumptions'!J72,"0.00%")&amp;", CPI"</f>
        <v>2.73%, CPI</v>
      </c>
    </row>
    <row r="76" spans="1:56" x14ac:dyDescent="0.25">
      <c r="A76" s="12" t="s">
        <v>7</v>
      </c>
      <c r="B76" s="39" t="s">
        <v>6</v>
      </c>
      <c r="C76" s="3">
        <v>172650</v>
      </c>
      <c r="D76" s="30"/>
      <c r="E76" s="2">
        <v>1000</v>
      </c>
      <c r="F76" s="36"/>
      <c r="G76" s="2">
        <v>0</v>
      </c>
      <c r="H76" s="36"/>
      <c r="I76" s="2">
        <v>9922</v>
      </c>
      <c r="J76" s="36"/>
      <c r="K76" s="2">
        <v>2000</v>
      </c>
      <c r="L76" s="36"/>
      <c r="M76" s="2">
        <v>3000</v>
      </c>
      <c r="N76" s="36"/>
      <c r="O76" s="2">
        <v>0</v>
      </c>
      <c r="P76" s="36"/>
      <c r="Q76" s="2">
        <v>1000</v>
      </c>
      <c r="R76" s="36"/>
      <c r="S76" s="2">
        <v>4000</v>
      </c>
      <c r="T76" s="36"/>
      <c r="U76" s="2">
        <v>4450</v>
      </c>
      <c r="V76" s="36"/>
      <c r="W76" s="2">
        <v>300</v>
      </c>
      <c r="X76" s="36"/>
      <c r="Y76" s="2">
        <v>500</v>
      </c>
      <c r="Z76" s="36"/>
      <c r="AA76" s="2">
        <v>3500</v>
      </c>
      <c r="AB76" s="36"/>
      <c r="AC76" s="66"/>
      <c r="AD76" s="12" t="str">
        <f t="shared" si="46"/>
        <v>5813</v>
      </c>
      <c r="AE76" s="39" t="str">
        <f t="shared" si="47"/>
        <v>Outside Services</v>
      </c>
      <c r="AF76" s="2">
        <f t="shared" si="54"/>
        <v>202322</v>
      </c>
      <c r="AG76" s="2"/>
      <c r="AH76" s="83">
        <f t="shared" si="61"/>
        <v>3.1098941291604471E-2</v>
      </c>
      <c r="AI76" s="2">
        <f>ROUND(AF76*(LEFT(AJ76,5)+1),0)</f>
        <v>208614</v>
      </c>
      <c r="AJ76" s="81" t="str">
        <f>TEXT('MYP Assumptions'!E72,"0.00%")&amp;", CPI"</f>
        <v>3.11%, CPI</v>
      </c>
      <c r="AK76" s="66"/>
      <c r="AL76" s="83">
        <f t="shared" si="49"/>
        <v>3.1901022941892683E-2</v>
      </c>
      <c r="AM76" s="2">
        <f t="shared" si="62"/>
        <v>215269</v>
      </c>
      <c r="AN76" s="81" t="str">
        <f>TEXT('MYP Assumptions'!F72,"0.00%")&amp;", CPI"</f>
        <v>3.19%, CPI</v>
      </c>
      <c r="AP76" s="83">
        <f t="shared" si="50"/>
        <v>2.860142426452485E-2</v>
      </c>
      <c r="AQ76" s="2">
        <f t="shared" si="56"/>
        <v>221426</v>
      </c>
      <c r="AR76" s="81" t="str">
        <f>TEXT('MYP Assumptions'!G72,"0.00%")&amp;", CPI"</f>
        <v>2.86%, CPI</v>
      </c>
      <c r="AT76" s="83">
        <f t="shared" si="51"/>
        <v>2.7300317035939773E-2</v>
      </c>
      <c r="AU76" s="2">
        <f t="shared" si="57"/>
        <v>227471</v>
      </c>
      <c r="AV76" s="81" t="str">
        <f>TEXT('MYP Assumptions'!H72,"0.00%")&amp;", CPI"</f>
        <v>2.73%, CPI</v>
      </c>
      <c r="AX76" s="83">
        <f t="shared" si="52"/>
        <v>2.7300183320071569E-2</v>
      </c>
      <c r="AY76" s="2">
        <f t="shared" si="58"/>
        <v>233681</v>
      </c>
      <c r="AZ76" s="81" t="str">
        <f>TEXT('MYP Assumptions'!I72,"0.00%")&amp;", CPI"</f>
        <v>2.73%, CPI</v>
      </c>
      <c r="BB76" s="83">
        <f t="shared" si="53"/>
        <v>2.7297897561205233E-2</v>
      </c>
      <c r="BC76" s="2">
        <f t="shared" si="59"/>
        <v>240060</v>
      </c>
      <c r="BD76" s="81" t="str">
        <f>TEXT('MYP Assumptions'!J72,"0.00%")&amp;", CPI"</f>
        <v>2.73%, CPI</v>
      </c>
    </row>
    <row r="77" spans="1:56" x14ac:dyDescent="0.25">
      <c r="A77" s="12" t="s">
        <v>5</v>
      </c>
      <c r="B77" s="39" t="s">
        <v>4</v>
      </c>
      <c r="C77" s="3">
        <v>24998</v>
      </c>
      <c r="D77" s="30"/>
      <c r="E77" s="2">
        <v>0</v>
      </c>
      <c r="F77" s="36"/>
      <c r="G77" s="2">
        <v>0</v>
      </c>
      <c r="H77" s="36"/>
      <c r="I77" s="2">
        <v>0</v>
      </c>
      <c r="J77" s="36"/>
      <c r="K77" s="2">
        <v>1614</v>
      </c>
      <c r="L77" s="36"/>
      <c r="M77" s="2">
        <v>0</v>
      </c>
      <c r="N77" s="36"/>
      <c r="O77" s="2">
        <v>300</v>
      </c>
      <c r="P77" s="36"/>
      <c r="Q77" s="2">
        <v>500</v>
      </c>
      <c r="R77" s="36"/>
      <c r="S77" s="2">
        <v>2689</v>
      </c>
      <c r="T77" s="36"/>
      <c r="U77" s="2">
        <v>0</v>
      </c>
      <c r="V77" s="36"/>
      <c r="W77" s="2">
        <v>4200</v>
      </c>
      <c r="X77" s="36"/>
      <c r="Y77" s="2">
        <v>1554</v>
      </c>
      <c r="Z77" s="36"/>
      <c r="AA77" s="2">
        <v>0</v>
      </c>
      <c r="AB77" s="36"/>
      <c r="AC77" s="66"/>
      <c r="AD77" s="12" t="str">
        <f t="shared" si="46"/>
        <v>5814</v>
      </c>
      <c r="AE77" s="39" t="str">
        <f t="shared" si="47"/>
        <v>Other Services</v>
      </c>
      <c r="AF77" s="2">
        <f t="shared" si="54"/>
        <v>35855</v>
      </c>
      <c r="AG77" s="2"/>
      <c r="AH77" s="83">
        <f t="shared" si="61"/>
        <v>3.1097475944777575E-2</v>
      </c>
      <c r="AI77" s="2">
        <f>ROUND(AF77*(LEFT(AJ77,5)+1),0)</f>
        <v>36970</v>
      </c>
      <c r="AJ77" s="81" t="str">
        <f>TEXT('MYP Assumptions'!E72,"0.00%")&amp;", CPI"</f>
        <v>3.11%, CPI</v>
      </c>
      <c r="AK77" s="66"/>
      <c r="AL77" s="83">
        <f t="shared" si="49"/>
        <v>3.1890722207195021E-2</v>
      </c>
      <c r="AM77" s="2">
        <f t="shared" si="62"/>
        <v>38149</v>
      </c>
      <c r="AN77" s="81" t="str">
        <f>TEXT('MYP Assumptions'!F72,"0.00%")&amp;", CPI"</f>
        <v>3.19%, CPI</v>
      </c>
      <c r="AP77" s="83">
        <f t="shared" si="50"/>
        <v>2.8598390521376707E-2</v>
      </c>
      <c r="AQ77" s="2">
        <f t="shared" si="56"/>
        <v>39240</v>
      </c>
      <c r="AR77" s="81" t="str">
        <f>TEXT('MYP Assumptions'!G72,"0.00%")&amp;", CPI"</f>
        <v>2.86%, CPI</v>
      </c>
      <c r="AT77" s="83">
        <f t="shared" si="51"/>
        <v>2.7293577981651378E-2</v>
      </c>
      <c r="AU77" s="2">
        <f t="shared" si="57"/>
        <v>40311</v>
      </c>
      <c r="AV77" s="81" t="str">
        <f>TEXT('MYP Assumptions'!H72,"0.00%")&amp;", CPI"</f>
        <v>2.73%, CPI</v>
      </c>
      <c r="AX77" s="83">
        <f t="shared" si="52"/>
        <v>2.7287837066805588E-2</v>
      </c>
      <c r="AY77" s="2">
        <f t="shared" si="58"/>
        <v>41411</v>
      </c>
      <c r="AZ77" s="81" t="str">
        <f>TEXT('MYP Assumptions'!I72,"0.00%")&amp;", CPI"</f>
        <v>2.73%, CPI</v>
      </c>
      <c r="BB77" s="83">
        <f t="shared" si="53"/>
        <v>2.7311583878679577E-2</v>
      </c>
      <c r="BC77" s="2">
        <f t="shared" si="59"/>
        <v>42542</v>
      </c>
      <c r="BD77" s="81" t="str">
        <f>TEXT('MYP Assumptions'!J72,"0.00%")&amp;", CPI"</f>
        <v>2.73%, CPI</v>
      </c>
    </row>
    <row r="78" spans="1:56" x14ac:dyDescent="0.25">
      <c r="A78" s="12" t="s">
        <v>3</v>
      </c>
      <c r="B78" s="39" t="s">
        <v>2</v>
      </c>
      <c r="C78" s="3">
        <v>2000</v>
      </c>
      <c r="D78" s="30"/>
      <c r="E78" s="2">
        <v>0</v>
      </c>
      <c r="F78" s="36"/>
      <c r="G78" s="2">
        <v>0</v>
      </c>
      <c r="H78" s="36"/>
      <c r="I78" s="2">
        <v>1700</v>
      </c>
      <c r="J78" s="36"/>
      <c r="K78" s="2">
        <v>0</v>
      </c>
      <c r="L78" s="36"/>
      <c r="M78" s="2">
        <v>0</v>
      </c>
      <c r="N78" s="36"/>
      <c r="O78" s="2">
        <v>0</v>
      </c>
      <c r="P78" s="36"/>
      <c r="Q78" s="2">
        <v>0</v>
      </c>
      <c r="R78" s="36"/>
      <c r="S78" s="2">
        <v>0</v>
      </c>
      <c r="T78" s="36"/>
      <c r="U78" s="2">
        <v>0</v>
      </c>
      <c r="V78" s="36"/>
      <c r="W78" s="2">
        <v>0</v>
      </c>
      <c r="X78" s="36"/>
      <c r="Y78" s="2">
        <v>0</v>
      </c>
      <c r="Z78" s="36"/>
      <c r="AA78" s="2">
        <v>0</v>
      </c>
      <c r="AB78" s="36"/>
      <c r="AC78" s="66"/>
      <c r="AD78" s="12" t="str">
        <f t="shared" si="46"/>
        <v>5817</v>
      </c>
      <c r="AE78" s="39" t="str">
        <f t="shared" si="47"/>
        <v>Outside Transp.</v>
      </c>
      <c r="AF78" s="2">
        <f t="shared" si="54"/>
        <v>3700</v>
      </c>
      <c r="AG78" s="2"/>
      <c r="AH78" s="83">
        <f t="shared" si="61"/>
        <v>3.1081081081081083E-2</v>
      </c>
      <c r="AI78" s="2">
        <f>ROUND(AF78*(LEFT(AJ78,5)+1),0)</f>
        <v>3815</v>
      </c>
      <c r="AJ78" s="81" t="str">
        <f>TEXT('MYP Assumptions'!E72,"0.00%")&amp;", CPI"</f>
        <v>3.11%, CPI</v>
      </c>
      <c r="AK78" s="66"/>
      <c r="AL78" s="83">
        <f t="shared" si="49"/>
        <v>3.197903014416776E-2</v>
      </c>
      <c r="AM78" s="2">
        <f t="shared" si="62"/>
        <v>3937</v>
      </c>
      <c r="AN78" s="81" t="str">
        <f>TEXT('MYP Assumptions'!F72,"0.00%")&amp;", CPI"</f>
        <v>3.19%, CPI</v>
      </c>
      <c r="AP78" s="83">
        <f t="shared" si="50"/>
        <v>2.8702057404114807E-2</v>
      </c>
      <c r="AQ78" s="2">
        <f t="shared" si="56"/>
        <v>4050</v>
      </c>
      <c r="AR78" s="81" t="str">
        <f>TEXT('MYP Assumptions'!G72,"0.00%")&amp;", CPI"</f>
        <v>2.86%, CPI</v>
      </c>
      <c r="AT78" s="83">
        <f t="shared" si="51"/>
        <v>2.7407407407407408E-2</v>
      </c>
      <c r="AU78" s="2">
        <f t="shared" si="57"/>
        <v>4161</v>
      </c>
      <c r="AV78" s="81" t="str">
        <f>TEXT('MYP Assumptions'!H72,"0.00%")&amp;", CPI"</f>
        <v>2.73%, CPI</v>
      </c>
      <c r="AX78" s="83">
        <f t="shared" si="52"/>
        <v>2.7397260273972601E-2</v>
      </c>
      <c r="AY78" s="2">
        <f t="shared" si="58"/>
        <v>4275</v>
      </c>
      <c r="AZ78" s="81" t="str">
        <f>TEXT('MYP Assumptions'!I72,"0.00%")&amp;", CPI"</f>
        <v>2.73%, CPI</v>
      </c>
      <c r="BB78" s="83">
        <f t="shared" si="53"/>
        <v>2.736842105263158E-2</v>
      </c>
      <c r="BC78" s="2">
        <f t="shared" si="59"/>
        <v>4392</v>
      </c>
      <c r="BD78" s="81" t="str">
        <f>TEXT('MYP Assumptions'!J72,"0.00%")&amp;", CPI"</f>
        <v>2.73%, CPI</v>
      </c>
    </row>
    <row r="79" spans="1:56" x14ac:dyDescent="0.25">
      <c r="A79" s="12" t="s">
        <v>124</v>
      </c>
      <c r="B79" s="39" t="s">
        <v>125</v>
      </c>
      <c r="C79" s="3">
        <v>0</v>
      </c>
      <c r="D79" s="30"/>
      <c r="E79" s="2">
        <v>0</v>
      </c>
      <c r="F79" s="36"/>
      <c r="G79" s="2">
        <v>0</v>
      </c>
      <c r="H79" s="36"/>
      <c r="I79" s="2">
        <v>0</v>
      </c>
      <c r="J79" s="36"/>
      <c r="K79" s="2">
        <v>0</v>
      </c>
      <c r="L79" s="36"/>
      <c r="M79" s="2">
        <v>0</v>
      </c>
      <c r="N79" s="36"/>
      <c r="O79" s="2">
        <v>0</v>
      </c>
      <c r="P79" s="36"/>
      <c r="Q79" s="2">
        <v>200</v>
      </c>
      <c r="R79" s="36"/>
      <c r="S79" s="2">
        <v>200</v>
      </c>
      <c r="T79" s="36"/>
      <c r="U79" s="2">
        <v>0</v>
      </c>
      <c r="V79" s="36"/>
      <c r="W79" s="2"/>
      <c r="X79" s="36"/>
      <c r="Y79" s="2">
        <v>1000</v>
      </c>
      <c r="Z79" s="36"/>
      <c r="AA79" s="2"/>
      <c r="AB79" s="36"/>
      <c r="AC79" s="66"/>
      <c r="AD79" s="12" t="str">
        <f t="shared" si="46"/>
        <v>5908</v>
      </c>
      <c r="AE79" s="39" t="str">
        <f t="shared" si="47"/>
        <v>Postage</v>
      </c>
      <c r="AF79" s="2">
        <f t="shared" si="54"/>
        <v>1400</v>
      </c>
      <c r="AG79" s="2"/>
      <c r="AH79" s="83">
        <f t="shared" si="61"/>
        <v>3.1428571428571431E-2</v>
      </c>
      <c r="AI79" s="2">
        <f>ROUND(AF79*(LEFT(AJ79,5)+1),0)</f>
        <v>1444</v>
      </c>
      <c r="AJ79" s="81" t="str">
        <f>TEXT('MYP Assumptions'!E72,"0.00%")&amp;", CPI"</f>
        <v>3.11%, CPI</v>
      </c>
      <c r="AK79" s="66"/>
      <c r="AL79" s="83">
        <f t="shared" si="49"/>
        <v>3.1855955678670361E-2</v>
      </c>
      <c r="AM79" s="2">
        <f t="shared" si="62"/>
        <v>1490</v>
      </c>
      <c r="AN79" s="81" t="str">
        <f>TEXT('MYP Assumptions'!F72,"0.00%")&amp;", CPI"</f>
        <v>3.19%, CPI</v>
      </c>
      <c r="AP79" s="83">
        <f t="shared" si="50"/>
        <v>2.8859060402684565E-2</v>
      </c>
      <c r="AQ79" s="2">
        <f t="shared" si="56"/>
        <v>1533</v>
      </c>
      <c r="AR79" s="81" t="str">
        <f>TEXT('MYP Assumptions'!G72,"0.00%")&amp;", CPI"</f>
        <v>2.86%, CPI</v>
      </c>
      <c r="AT79" s="83">
        <f t="shared" si="51"/>
        <v>2.7397260273972601E-2</v>
      </c>
      <c r="AU79" s="2">
        <f t="shared" si="57"/>
        <v>1575</v>
      </c>
      <c r="AV79" s="81" t="str">
        <f>TEXT('MYP Assumptions'!H72,"0.00%")&amp;", CPI"</f>
        <v>2.73%, CPI</v>
      </c>
      <c r="AX79" s="83">
        <f t="shared" si="52"/>
        <v>2.7301587301587302E-2</v>
      </c>
      <c r="AY79" s="2">
        <f t="shared" si="58"/>
        <v>1618</v>
      </c>
      <c r="AZ79" s="81" t="str">
        <f>TEXT('MYP Assumptions'!I72,"0.00%")&amp;", CPI"</f>
        <v>2.73%, CPI</v>
      </c>
      <c r="BB79" s="83">
        <f t="shared" si="53"/>
        <v>2.7194066749072928E-2</v>
      </c>
      <c r="BC79" s="2">
        <f t="shared" si="59"/>
        <v>1662</v>
      </c>
      <c r="BD79" s="81" t="str">
        <f>TEXT('MYP Assumptions'!J72,"0.00%")&amp;", CPI"</f>
        <v>2.73%, CPI</v>
      </c>
    </row>
    <row r="80" spans="1:56" x14ac:dyDescent="0.25">
      <c r="A80" s="12" t="s">
        <v>1</v>
      </c>
      <c r="C80" s="3">
        <v>0</v>
      </c>
      <c r="D80" s="30"/>
      <c r="E80" s="2">
        <v>0</v>
      </c>
      <c r="F80" s="36"/>
      <c r="G80" s="2">
        <v>0</v>
      </c>
      <c r="H80" s="36"/>
      <c r="I80" s="2">
        <v>0</v>
      </c>
      <c r="J80" s="36"/>
      <c r="K80" s="2">
        <v>0</v>
      </c>
      <c r="L80" s="36"/>
      <c r="M80" s="2">
        <v>0</v>
      </c>
      <c r="N80" s="36"/>
      <c r="O80" s="2">
        <v>0</v>
      </c>
      <c r="P80" s="36"/>
      <c r="Q80" s="2">
        <v>0</v>
      </c>
      <c r="R80" s="36"/>
      <c r="S80" s="2">
        <v>0</v>
      </c>
      <c r="T80" s="36"/>
      <c r="U80" s="2">
        <v>0</v>
      </c>
      <c r="V80" s="36"/>
      <c r="W80" s="2">
        <v>0</v>
      </c>
      <c r="X80" s="36"/>
      <c r="Y80" s="2">
        <v>0</v>
      </c>
      <c r="Z80" s="36"/>
      <c r="AA80" s="2">
        <v>0</v>
      </c>
      <c r="AB80" s="36"/>
      <c r="AC80" s="66"/>
      <c r="AD80" s="12" t="str">
        <f t="shared" si="46"/>
        <v>5000</v>
      </c>
      <c r="AE80" s="39">
        <f t="shared" si="47"/>
        <v>0</v>
      </c>
      <c r="AF80" s="2">
        <f t="shared" si="54"/>
        <v>0</v>
      </c>
      <c r="AG80" s="2"/>
      <c r="AH80" s="83" t="str">
        <f t="shared" si="61"/>
        <v>0.00%</v>
      </c>
      <c r="AI80" s="2">
        <f>ROUND(AF80*(LEFT(AJ80,5)+1),0)</f>
        <v>0</v>
      </c>
      <c r="AJ80" s="81" t="str">
        <f>TEXT('MYP Assumptions'!E72,"0.00%")&amp;", CPI"</f>
        <v>3.11%, CPI</v>
      </c>
      <c r="AK80" s="66"/>
      <c r="AL80" s="83" t="str">
        <f t="shared" si="49"/>
        <v>0.00%</v>
      </c>
      <c r="AM80" s="2">
        <f t="shared" si="62"/>
        <v>0</v>
      </c>
      <c r="AN80" s="81" t="str">
        <f>TEXT('MYP Assumptions'!F72,"0.00%")&amp;", CPI"</f>
        <v>3.19%, CPI</v>
      </c>
      <c r="AP80" s="83" t="str">
        <f t="shared" si="50"/>
        <v>0.00%</v>
      </c>
      <c r="AQ80" s="2">
        <f t="shared" si="56"/>
        <v>0</v>
      </c>
      <c r="AR80" s="81" t="str">
        <f>TEXT('MYP Assumptions'!G72,"0.00%")&amp;", CPI"</f>
        <v>2.86%, CPI</v>
      </c>
      <c r="AT80" s="83" t="str">
        <f t="shared" si="51"/>
        <v>0.00%</v>
      </c>
      <c r="AU80" s="2">
        <f t="shared" si="57"/>
        <v>0</v>
      </c>
      <c r="AV80" s="81" t="str">
        <f>TEXT('MYP Assumptions'!H72,"0.00%")&amp;", CPI"</f>
        <v>2.73%, CPI</v>
      </c>
      <c r="AX80" s="83" t="str">
        <f t="shared" si="52"/>
        <v>0.00%</v>
      </c>
      <c r="AY80" s="2">
        <f t="shared" si="58"/>
        <v>0</v>
      </c>
      <c r="AZ80" s="81" t="str">
        <f>TEXT('MYP Assumptions'!I72,"0.00%")&amp;", CPI"</f>
        <v>2.73%, CPI</v>
      </c>
      <c r="BB80" s="83" t="str">
        <f t="shared" si="53"/>
        <v>0.00%</v>
      </c>
      <c r="BC80" s="2">
        <f t="shared" si="59"/>
        <v>0</v>
      </c>
      <c r="BD80" s="81" t="str">
        <f>TEXT('MYP Assumptions'!J72,"0.00%")&amp;", CPI"</f>
        <v>2.73%, CPI</v>
      </c>
    </row>
    <row r="81" spans="1:56" x14ac:dyDescent="0.25">
      <c r="C81" s="8">
        <f>SUM(C68:C80)</f>
        <v>386238.37</v>
      </c>
      <c r="D81" s="33"/>
      <c r="E81" s="8">
        <f>SUM(E68:E80)</f>
        <v>3000</v>
      </c>
      <c r="F81" s="5"/>
      <c r="G81" s="8">
        <f>SUM(G68:G80)</f>
        <v>0</v>
      </c>
      <c r="H81" s="5"/>
      <c r="I81" s="8">
        <f>SUM(I68:I80)</f>
        <v>23622</v>
      </c>
      <c r="J81" s="5"/>
      <c r="K81" s="8">
        <f>SUM(K68:K80)</f>
        <v>17564</v>
      </c>
      <c r="L81" s="5"/>
      <c r="M81" s="8">
        <f>SUM(M68:M80)</f>
        <v>10500</v>
      </c>
      <c r="N81" s="5"/>
      <c r="O81" s="8">
        <f>SUM(O68:O80)</f>
        <v>2271</v>
      </c>
      <c r="P81" s="5"/>
      <c r="Q81" s="8">
        <f>SUM(Q68:Q80)</f>
        <v>10471</v>
      </c>
      <c r="R81" s="5"/>
      <c r="S81" s="8">
        <f>SUM(S68:S80)</f>
        <v>14889</v>
      </c>
      <c r="T81" s="5"/>
      <c r="U81" s="8">
        <f>SUM(U68:U80)</f>
        <v>8616</v>
      </c>
      <c r="V81" s="5"/>
      <c r="W81" s="8">
        <f>SUM(W68:W80)</f>
        <v>13000</v>
      </c>
      <c r="X81" s="5"/>
      <c r="Y81" s="8">
        <f>SUM(Y68:Y80)</f>
        <v>9426</v>
      </c>
      <c r="Z81" s="5"/>
      <c r="AA81" s="8">
        <f>SUM(AA68:AA80)</f>
        <v>10500</v>
      </c>
      <c r="AB81" s="5"/>
      <c r="AC81" s="29"/>
      <c r="AF81" s="8">
        <f>SUM(AF68:AF80)</f>
        <v>510097.37</v>
      </c>
      <c r="AG81" s="2"/>
      <c r="AH81" s="83">
        <f t="shared" ref="AH81:AH88" si="63">(AI81-AF81)/AF81</f>
        <v>3.110314017106186E-2</v>
      </c>
      <c r="AI81" s="8">
        <f>SUM(AI68:AI80)</f>
        <v>525963</v>
      </c>
      <c r="AJ81" s="5"/>
      <c r="AK81" s="29"/>
      <c r="AL81" s="83">
        <f t="shared" si="49"/>
        <v>3.1899582290008992E-2</v>
      </c>
      <c r="AM81" s="8">
        <f>SUM(AM68:AM80)</f>
        <v>542741</v>
      </c>
      <c r="AN81" s="73"/>
      <c r="AP81" s="83">
        <f t="shared" si="50"/>
        <v>2.8602961633633722E-2</v>
      </c>
      <c r="AQ81" s="8">
        <f>SUM(AQ68:AQ80)</f>
        <v>558265</v>
      </c>
      <c r="AR81" s="73"/>
      <c r="AT81" s="83">
        <f t="shared" si="51"/>
        <v>2.7300654706993992E-2</v>
      </c>
      <c r="AU81" s="8">
        <f>SUM(AU68:AU80)</f>
        <v>573506</v>
      </c>
      <c r="AV81" s="73"/>
      <c r="AX81" s="83">
        <f t="shared" si="52"/>
        <v>2.7302242696676235E-2</v>
      </c>
      <c r="AY81" s="8">
        <f>SUM(AY68:AY80)</f>
        <v>589164</v>
      </c>
      <c r="AZ81" s="73"/>
      <c r="BB81" s="83">
        <f t="shared" si="53"/>
        <v>2.7298001914577267E-2</v>
      </c>
      <c r="BC81" s="8">
        <f>SUM(BC68:BC80)</f>
        <v>605247</v>
      </c>
      <c r="BD81" s="73"/>
    </row>
    <row r="82" spans="1:56" x14ac:dyDescent="0.25">
      <c r="A82" s="21"/>
      <c r="C82" s="3"/>
      <c r="D82" s="30"/>
      <c r="E82" s="2"/>
      <c r="F82" s="36"/>
      <c r="G82" s="2"/>
      <c r="H82" s="36"/>
      <c r="J82" s="36"/>
      <c r="K82" s="2"/>
      <c r="L82" s="36"/>
      <c r="M82" s="2"/>
      <c r="N82" s="36"/>
      <c r="O82" s="2"/>
      <c r="P82" s="36"/>
      <c r="Q82" s="2"/>
      <c r="R82" s="36"/>
      <c r="S82" s="2"/>
      <c r="T82" s="36"/>
      <c r="U82" s="2"/>
      <c r="V82" s="36"/>
      <c r="W82" s="2"/>
      <c r="X82" s="36"/>
      <c r="Y82" s="2"/>
      <c r="Z82" s="36"/>
      <c r="AA82" s="2"/>
      <c r="AB82" s="36"/>
      <c r="AC82" s="66"/>
      <c r="AD82" s="21"/>
      <c r="AF82" s="2"/>
      <c r="AG82" s="2"/>
      <c r="AH82" s="83"/>
      <c r="AI82" s="2"/>
      <c r="AJ82" s="36"/>
      <c r="AK82" s="66"/>
      <c r="AM82" s="2"/>
      <c r="AN82" s="73"/>
      <c r="AQ82" s="2"/>
      <c r="AR82" s="73"/>
      <c r="AU82" s="2"/>
      <c r="AV82" s="73"/>
      <c r="AY82" s="2"/>
      <c r="AZ82" s="73"/>
      <c r="BC82" s="2"/>
      <c r="BD82" s="73"/>
    </row>
    <row r="83" spans="1:56" x14ac:dyDescent="0.25">
      <c r="C83" s="3"/>
      <c r="D83" s="30"/>
      <c r="E83" s="2"/>
      <c r="F83" s="36"/>
      <c r="G83" s="2"/>
      <c r="H83" s="36"/>
      <c r="J83" s="36"/>
      <c r="K83" s="2"/>
      <c r="L83" s="36"/>
      <c r="M83" s="2"/>
      <c r="N83" s="36"/>
      <c r="O83" s="2"/>
      <c r="P83" s="36"/>
      <c r="Q83" s="2"/>
      <c r="R83" s="36"/>
      <c r="S83" s="2"/>
      <c r="T83" s="36"/>
      <c r="U83" s="2"/>
      <c r="V83" s="36"/>
      <c r="W83" s="2"/>
      <c r="X83" s="36"/>
      <c r="Y83" s="2"/>
      <c r="Z83" s="36"/>
      <c r="AA83" s="2"/>
      <c r="AB83" s="36"/>
      <c r="AC83" s="66"/>
      <c r="AF83" s="2"/>
      <c r="AG83" s="2"/>
      <c r="AI83" s="2"/>
      <c r="AJ83" s="36"/>
      <c r="AK83" s="66"/>
      <c r="AM83" s="2"/>
      <c r="AN83" s="73"/>
      <c r="AQ83" s="2"/>
      <c r="AR83" s="73"/>
      <c r="AU83" s="2"/>
      <c r="AV83" s="73"/>
      <c r="AY83" s="2"/>
      <c r="AZ83" s="73"/>
      <c r="BC83" s="2"/>
      <c r="BD83" s="73"/>
    </row>
    <row r="84" spans="1:56" x14ac:dyDescent="0.25">
      <c r="A84" s="21" t="s">
        <v>0</v>
      </c>
      <c r="C84" s="8">
        <f>SUM(C81,C65,C54,C13)</f>
        <v>1764624.37</v>
      </c>
      <c r="D84" s="33"/>
      <c r="E84" s="8">
        <f>SUM(E81,E65,E54)</f>
        <v>58079</v>
      </c>
      <c r="F84" s="5"/>
      <c r="G84" s="8">
        <f>SUM(G81,G65,G54)</f>
        <v>63864</v>
      </c>
      <c r="H84" s="5"/>
      <c r="I84" s="8">
        <f>SUM(I81,I65,I54)</f>
        <v>148609</v>
      </c>
      <c r="J84" s="5"/>
      <c r="K84" s="8">
        <f>SUM(K81,K65,K54)</f>
        <v>60043</v>
      </c>
      <c r="L84" s="5"/>
      <c r="M84" s="8">
        <f>SUM(M81,M65,M54)</f>
        <v>65573</v>
      </c>
      <c r="N84" s="5"/>
      <c r="O84" s="8">
        <f>SUM(O81,O65,O54)</f>
        <v>75954</v>
      </c>
      <c r="P84" s="5"/>
      <c r="Q84" s="8">
        <f>SUM(Q81,Q65,Q54)</f>
        <v>61288</v>
      </c>
      <c r="R84" s="5"/>
      <c r="S84" s="8">
        <f>SUM(S81,S65,S54)</f>
        <v>106619</v>
      </c>
      <c r="T84" s="5"/>
      <c r="U84" s="8">
        <f>SUM(U81,U65,U54)</f>
        <v>67761</v>
      </c>
      <c r="V84" s="5"/>
      <c r="W84" s="8">
        <f>SUM(W81,W65,W54)</f>
        <v>100960</v>
      </c>
      <c r="X84" s="5"/>
      <c r="Y84" s="8">
        <f>SUM(Y81,Y65,Y54)</f>
        <v>54971</v>
      </c>
      <c r="Z84" s="5"/>
      <c r="AA84" s="8">
        <f>SUM(AA81,AA65,AA54)</f>
        <v>63549</v>
      </c>
      <c r="AB84" s="5"/>
      <c r="AC84" s="29"/>
      <c r="AD84" s="21" t="str">
        <f>A84</f>
        <v>TOTAL EXPENDITURES</v>
      </c>
      <c r="AF84" s="8">
        <f>SUM(AF81,AF65,AF54)</f>
        <v>2594472.37</v>
      </c>
      <c r="AG84" s="2"/>
      <c r="AH84" s="83">
        <f t="shared" si="63"/>
        <v>3.5326115267128429E-2</v>
      </c>
      <c r="AI84" s="8">
        <f>SUM(AI81,AI65,AI54)</f>
        <v>2686125</v>
      </c>
      <c r="AJ84" s="5"/>
      <c r="AK84" s="29"/>
      <c r="AL84" s="83">
        <f>IF(AI84=0,"0.00%",(AM84-AI84)/AI84)</f>
        <v>3.6308436874680071E-2</v>
      </c>
      <c r="AM84" s="8">
        <f>SUM(AM81,AM65,AM54)</f>
        <v>2783654</v>
      </c>
      <c r="AN84" s="73"/>
      <c r="AP84" s="83">
        <f>IF(AM84=0,"0.00%",(AQ84-AM84)/AM84)</f>
        <v>3.5000039516405415E-2</v>
      </c>
      <c r="AQ84" s="8">
        <f>SUM(AQ81,AQ65,AQ54)</f>
        <v>2881082</v>
      </c>
      <c r="AR84" s="73"/>
      <c r="AT84" s="83">
        <f>IF(AQ84=0,"0.00%",(AU84-AQ84)/AQ84)</f>
        <v>3.0868611167609947E-2</v>
      </c>
      <c r="AU84" s="8">
        <f>SUM(AU81,AU65,AU54)</f>
        <v>2970017</v>
      </c>
      <c r="AV84" s="73"/>
      <c r="AX84" s="83">
        <f>IF(AU84=0,"0.00%",(AY84-AU84)/AU84)</f>
        <v>2.6089749654631605E-2</v>
      </c>
      <c r="AY84" s="8">
        <f>SUM(AY81,AY65,AY54)</f>
        <v>3047504</v>
      </c>
      <c r="AZ84" s="73"/>
      <c r="BB84" s="83">
        <f>IF(AY84=0,"0.00%",(BC84-AY84)/AY84)</f>
        <v>2.5964198898508418E-2</v>
      </c>
      <c r="BC84" s="8">
        <f>SUM(BC81,BC65,BC54)</f>
        <v>3126630</v>
      </c>
      <c r="BD84" s="73"/>
    </row>
    <row r="85" spans="1:56" x14ac:dyDescent="0.25">
      <c r="C85" s="3"/>
      <c r="D85" s="30"/>
      <c r="E85" s="2"/>
      <c r="F85" s="36"/>
      <c r="G85" s="2"/>
      <c r="H85" s="36"/>
      <c r="J85" s="36"/>
      <c r="K85" s="2"/>
      <c r="L85" s="36"/>
      <c r="M85" s="2"/>
      <c r="N85" s="36"/>
      <c r="O85" s="2"/>
      <c r="P85" s="36"/>
      <c r="Q85" s="2"/>
      <c r="R85" s="36"/>
      <c r="S85" s="2"/>
      <c r="T85" s="36"/>
      <c r="U85" s="2"/>
      <c r="V85" s="36"/>
      <c r="W85" s="2"/>
      <c r="X85" s="36"/>
      <c r="Y85" s="2"/>
      <c r="Z85" s="36"/>
      <c r="AA85" s="2"/>
      <c r="AB85" s="36"/>
      <c r="AC85" s="66"/>
      <c r="AF85" s="2"/>
      <c r="AG85" s="2"/>
      <c r="AI85" s="2"/>
      <c r="AJ85" s="36"/>
      <c r="AK85" s="66"/>
      <c r="AM85" s="2"/>
      <c r="AN85" s="73"/>
      <c r="AQ85" s="2"/>
      <c r="AR85" s="73"/>
      <c r="AU85" s="2"/>
      <c r="AV85" s="73"/>
      <c r="AY85" s="2"/>
      <c r="AZ85" s="73"/>
      <c r="BC85" s="2"/>
      <c r="BD85" s="73"/>
    </row>
    <row r="86" spans="1:56" x14ac:dyDescent="0.25">
      <c r="A86" s="21" t="s">
        <v>138</v>
      </c>
      <c r="C86" s="3">
        <f>C11-C84</f>
        <v>965811</v>
      </c>
      <c r="D86" s="30"/>
      <c r="E86" s="2"/>
      <c r="F86" s="36"/>
      <c r="G86" s="2"/>
      <c r="H86" s="36"/>
      <c r="J86" s="36"/>
      <c r="K86" s="2"/>
      <c r="L86" s="36"/>
      <c r="M86" s="2"/>
      <c r="N86" s="36"/>
      <c r="O86" s="2"/>
      <c r="P86" s="36"/>
      <c r="Q86" s="2"/>
      <c r="R86" s="36"/>
      <c r="S86" s="2"/>
      <c r="T86" s="36"/>
      <c r="U86" s="2"/>
      <c r="V86" s="36"/>
      <c r="W86" s="2"/>
      <c r="X86" s="36"/>
      <c r="Y86" s="2"/>
      <c r="Z86" s="36"/>
      <c r="AA86" s="2"/>
      <c r="AB86" s="36"/>
      <c r="AC86" s="66"/>
      <c r="AD86" s="21" t="str">
        <f>A86</f>
        <v>NET INCRS/DCRS TO FB</v>
      </c>
      <c r="AF86" s="3">
        <f>AF11-AF84</f>
        <v>135963</v>
      </c>
      <c r="AH86" s="83">
        <f t="shared" si="63"/>
        <v>-4.8723042666019429</v>
      </c>
      <c r="AI86" s="3">
        <f>AI11-AI84</f>
        <v>-526490.10499999998</v>
      </c>
      <c r="AJ86" s="36"/>
      <c r="AK86" s="66"/>
      <c r="AL86" s="83">
        <f>IF(AI86=0,"0.00%",(AM86-AI86)/AI86)</f>
        <v>0.59705837206570145</v>
      </c>
      <c r="AM86" s="3">
        <f>AM11-AM84</f>
        <v>-840835.43000000017</v>
      </c>
      <c r="AN86" s="73"/>
      <c r="AP86" s="83">
        <f>IF(AM86=0,"0.00%",(AQ86-AM86)/AM86)</f>
        <v>0.43094973412335857</v>
      </c>
      <c r="AQ86" s="3">
        <f>AQ11-AQ84</f>
        <v>-1203193.2350000001</v>
      </c>
      <c r="AR86" s="73"/>
      <c r="AT86" s="83">
        <f>IF(AQ86=0,"0.00%",(AU86-AQ86)/AQ86)</f>
        <v>7.3915807879355297E-2</v>
      </c>
      <c r="AU86" s="3">
        <f>AU11-AU84</f>
        <v>-1292128.2350000001</v>
      </c>
      <c r="AV86" s="73"/>
      <c r="AX86" s="83">
        <f>IF(AU86=0,"0.00%",(AY86-AU86)/AU86)</f>
        <v>5.9968506144438515E-2</v>
      </c>
      <c r="AY86" s="3">
        <f>AY11-AY84</f>
        <v>-1369615.2350000001</v>
      </c>
      <c r="AZ86" s="73"/>
      <c r="BB86" s="83">
        <f>IF(AY86=0,"0.00%",(BC86-AY86)/AY86)</f>
        <v>5.7772429787552704E-2</v>
      </c>
      <c r="BC86" s="3">
        <f>BC11-BC84</f>
        <v>-1448741.2350000001</v>
      </c>
      <c r="BD86" s="73"/>
    </row>
    <row r="87" spans="1:56" x14ac:dyDescent="0.25">
      <c r="A87" s="21"/>
      <c r="AD87" s="21"/>
      <c r="AE87" s="1"/>
      <c r="AF87" s="44"/>
      <c r="AI87" s="44"/>
      <c r="AJ87" s="36"/>
      <c r="AK87" s="66"/>
      <c r="AM87" s="44"/>
      <c r="AN87" s="73"/>
      <c r="AQ87" s="44"/>
      <c r="AR87" s="73"/>
      <c r="AU87" s="44"/>
      <c r="AV87" s="73"/>
      <c r="AY87" s="44"/>
      <c r="AZ87" s="73"/>
      <c r="BC87" s="44"/>
      <c r="BD87" s="73"/>
    </row>
    <row r="88" spans="1:56" x14ac:dyDescent="0.25">
      <c r="A88" s="21" t="s">
        <v>136</v>
      </c>
      <c r="C88" s="49">
        <f>C7+C86</f>
        <v>965811</v>
      </c>
      <c r="AD88" s="21" t="str">
        <f>A88</f>
        <v>ENDING FUND BALANCE</v>
      </c>
      <c r="AE88" s="26"/>
      <c r="AF88" s="49">
        <f>AF7+AF86</f>
        <v>135963</v>
      </c>
      <c r="AH88" s="83">
        <f t="shared" si="63"/>
        <v>-3.8723042666019429</v>
      </c>
      <c r="AI88" s="49">
        <f>AI7+AI86</f>
        <v>-390527.10499999998</v>
      </c>
      <c r="AJ88" s="36"/>
      <c r="AK88" s="66"/>
      <c r="AL88" s="83">
        <f>IF(AI88=0,"0.00%",(AM88-AI88)/AI88)</f>
        <v>2.1530782863330322</v>
      </c>
      <c r="AM88" s="49">
        <f>AM7+AM86</f>
        <v>-1231362.5350000001</v>
      </c>
      <c r="AN88" s="73"/>
      <c r="AP88" s="83">
        <f>IF(AM88=0,"0.00%",(AQ88-AM88)/AM88)</f>
        <v>0.97712347160213076</v>
      </c>
      <c r="AQ88" s="49">
        <f>AQ7+AQ86</f>
        <v>-2434555.7700000005</v>
      </c>
      <c r="AR88" s="73"/>
      <c r="AT88" s="83">
        <f>IF(AQ88=0,"0.00%",(AU88-AQ88)/AQ88)</f>
        <v>0.53074497241852059</v>
      </c>
      <c r="AU88" s="49">
        <f>AU7+AU86</f>
        <v>-3726684.0050000008</v>
      </c>
      <c r="AV88" s="73"/>
      <c r="AX88" s="83">
        <f>IF(AU88=0,"0.00%",(AY88-AU88)/AU88)</f>
        <v>0.36751579505061899</v>
      </c>
      <c r="AY88" s="49">
        <f>AY7+AY86</f>
        <v>-5096299.2400000012</v>
      </c>
      <c r="AZ88" s="73"/>
      <c r="BB88" s="83">
        <f>IF(AY88=0,"0.00%",(BC88-AY88)/AY88)</f>
        <v>0.28427318859714368</v>
      </c>
      <c r="BC88" s="49">
        <f>BC7+BC86</f>
        <v>-6545040.4750000015</v>
      </c>
      <c r="BD88" s="73"/>
    </row>
    <row r="89" spans="1:56" x14ac:dyDescent="0.25">
      <c r="AE89" s="4"/>
      <c r="AH89" s="85"/>
      <c r="AI89" s="5"/>
      <c r="AJ89" s="5"/>
      <c r="AK89" s="29"/>
      <c r="AM89" s="5"/>
      <c r="AN89" s="73"/>
      <c r="AQ89" s="5"/>
      <c r="AR89" s="73"/>
      <c r="AU89" s="5"/>
      <c r="AV89" s="73"/>
      <c r="AY89" s="5"/>
      <c r="AZ89" s="73"/>
      <c r="BC89" s="5"/>
      <c r="BD89" s="73"/>
    </row>
    <row r="90" spans="1:56" x14ac:dyDescent="0.25">
      <c r="AE90" s="51"/>
      <c r="AH90" s="85"/>
      <c r="AI90" s="36"/>
      <c r="AJ90" s="36"/>
      <c r="AK90" s="66"/>
      <c r="AM90" s="2"/>
      <c r="AN90" s="73"/>
      <c r="AQ90" s="2"/>
      <c r="AR90" s="73"/>
      <c r="AU90" s="2"/>
      <c r="AV90" s="73"/>
      <c r="AY90" s="2"/>
      <c r="AZ90" s="73"/>
      <c r="BC90" s="2"/>
      <c r="BD90" s="73"/>
    </row>
    <row r="91" spans="1:56" x14ac:dyDescent="0.25">
      <c r="AE91" s="26"/>
      <c r="AH91" s="85"/>
      <c r="AI91" s="25"/>
      <c r="AJ91" s="25"/>
      <c r="AK91" s="61"/>
      <c r="AL91" s="83"/>
      <c r="AM91" s="3"/>
      <c r="AN91" s="73"/>
      <c r="AP91" s="83"/>
      <c r="AQ91" s="3"/>
      <c r="AR91" s="73"/>
      <c r="AT91" s="83"/>
      <c r="AU91" s="3"/>
      <c r="AV91" s="73"/>
      <c r="AX91" s="83"/>
      <c r="AY91" s="3"/>
      <c r="AZ91" s="73"/>
      <c r="BB91" s="83"/>
      <c r="BC91" s="3"/>
      <c r="BD91" s="73"/>
    </row>
    <row r="92" spans="1:56" x14ac:dyDescent="0.25">
      <c r="A92" s="21"/>
      <c r="B92" s="1" t="str">
        <f>"Actuals as of "&amp;TEXT(C17,"mm/dd/yyyy")</f>
        <v>Actuals as of 02/16/2017</v>
      </c>
      <c r="C92" s="3">
        <v>690674.82</v>
      </c>
      <c r="D92" s="30"/>
      <c r="E92" s="3">
        <v>12299.94</v>
      </c>
      <c r="F92" s="36"/>
      <c r="G92" s="3">
        <v>44339.71</v>
      </c>
      <c r="H92" s="36"/>
      <c r="I92" s="3">
        <v>45981.45</v>
      </c>
      <c r="J92" s="36"/>
      <c r="K92" s="3">
        <v>13519.15</v>
      </c>
      <c r="L92" s="36"/>
      <c r="M92" s="3">
        <v>6749.97</v>
      </c>
      <c r="N92" s="36"/>
      <c r="O92" s="3">
        <v>6281.1</v>
      </c>
      <c r="P92" s="36"/>
      <c r="Q92" s="3">
        <v>19463.080000000002</v>
      </c>
      <c r="R92" s="36"/>
      <c r="S92" s="3">
        <v>26391.66</v>
      </c>
      <c r="T92" s="36"/>
      <c r="U92" s="3">
        <v>41712.160000000003</v>
      </c>
      <c r="V92" s="36"/>
      <c r="W92" s="3">
        <v>29988.23</v>
      </c>
      <c r="X92" s="36"/>
      <c r="Y92" s="3">
        <v>24652.12</v>
      </c>
      <c r="Z92" s="36"/>
      <c r="AA92" s="3">
        <v>10917.42</v>
      </c>
      <c r="AB92" s="36"/>
      <c r="AC92" s="66"/>
      <c r="AE92" s="51"/>
      <c r="AF92" s="2">
        <f>SUM(C92,E92,G92,I92,K92,M92,O92,Q92,S92,U92,W92,Y92,AA92)</f>
        <v>972970.80999999982</v>
      </c>
      <c r="AG92" s="2"/>
      <c r="AH92" s="85"/>
      <c r="AI92" s="51"/>
      <c r="AM92" s="39"/>
      <c r="AN92" s="73"/>
    </row>
    <row r="93" spans="1:56" x14ac:dyDescent="0.25">
      <c r="B93" s="1" t="str">
        <f>"Encumb. as of "&amp;TEXT(C17,"mm/dd/yyyy")</f>
        <v>Encumb. as of 02/16/2017</v>
      </c>
      <c r="C93" s="3">
        <v>475060.77</v>
      </c>
      <c r="D93" s="30"/>
      <c r="E93" s="3">
        <v>21644.49</v>
      </c>
      <c r="F93" s="36"/>
      <c r="G93" s="3">
        <v>10028.94</v>
      </c>
      <c r="H93" s="36"/>
      <c r="I93" s="3">
        <v>30065.16</v>
      </c>
      <c r="J93" s="36"/>
      <c r="K93" s="3">
        <v>3027.96</v>
      </c>
      <c r="L93" s="36"/>
      <c r="M93" s="3">
        <v>5778.15</v>
      </c>
      <c r="N93" s="36"/>
      <c r="O93" s="3">
        <v>150</v>
      </c>
      <c r="P93" s="36"/>
      <c r="Q93" s="3">
        <v>33992.699999999997</v>
      </c>
      <c r="R93" s="36"/>
      <c r="S93" s="3">
        <v>17630.77</v>
      </c>
      <c r="T93" s="36"/>
      <c r="U93" s="3">
        <v>5708.04</v>
      </c>
      <c r="V93" s="36"/>
      <c r="W93" s="3">
        <v>41894.050000000003</v>
      </c>
      <c r="X93" s="36"/>
      <c r="Y93" s="3">
        <v>75</v>
      </c>
      <c r="Z93" s="36"/>
      <c r="AA93" s="3">
        <v>3758.86</v>
      </c>
      <c r="AB93" s="36"/>
      <c r="AC93" s="66"/>
      <c r="AF93" s="2">
        <f>SUM(C93,E93,G93,I93,K93,M93,O93,Q93,S93,U93,W93,Y93,AA93)</f>
        <v>648814.89</v>
      </c>
      <c r="AG93" s="2"/>
      <c r="AI93" s="39"/>
    </row>
    <row r="94" spans="1:56" ht="15" customHeight="1" x14ac:dyDescent="0.25">
      <c r="B94" s="13" t="s">
        <v>118</v>
      </c>
      <c r="C94" s="24">
        <f>SUM(C92:C93)</f>
        <v>1165735.5899999999</v>
      </c>
      <c r="D94" s="30"/>
      <c r="E94" s="24">
        <f>SUM(E92:E93)</f>
        <v>33944.43</v>
      </c>
      <c r="F94" s="36"/>
      <c r="G94" s="24">
        <f>SUM(G92:G93)</f>
        <v>54368.65</v>
      </c>
      <c r="H94" s="36"/>
      <c r="I94" s="24">
        <f>SUM(I92:I93)</f>
        <v>76046.61</v>
      </c>
      <c r="J94" s="36"/>
      <c r="K94" s="24">
        <f>SUM(K92:K93)</f>
        <v>16547.11</v>
      </c>
      <c r="L94" s="36"/>
      <c r="M94" s="24">
        <f>SUM(M92:M93)</f>
        <v>12528.119999999999</v>
      </c>
      <c r="N94" s="36"/>
      <c r="O94" s="24">
        <f>SUM(O92:O93)</f>
        <v>6431.1</v>
      </c>
      <c r="P94" s="36"/>
      <c r="Q94" s="24">
        <f>SUM(Q92:Q93)</f>
        <v>53455.78</v>
      </c>
      <c r="R94" s="36"/>
      <c r="S94" s="24">
        <f>SUM(S92:S93)</f>
        <v>44022.43</v>
      </c>
      <c r="T94" s="36"/>
      <c r="U94" s="24">
        <f>SUM(U92:U93)</f>
        <v>47420.200000000004</v>
      </c>
      <c r="V94" s="36"/>
      <c r="W94" s="24">
        <f>SUM(W92:W93)</f>
        <v>71882.28</v>
      </c>
      <c r="X94" s="36"/>
      <c r="Y94" s="24">
        <f>SUM(Y92:Y93)</f>
        <v>24727.119999999999</v>
      </c>
      <c r="Z94" s="36"/>
      <c r="AA94" s="24">
        <f>SUM(AA92:AA93)</f>
        <v>14676.28</v>
      </c>
      <c r="AB94" s="36"/>
      <c r="AC94" s="66"/>
      <c r="AD94" s="76"/>
      <c r="AE94" s="76"/>
      <c r="AF94" s="8">
        <f>SUM(AF92:AF93)</f>
        <v>1621785.6999999997</v>
      </c>
      <c r="AG94" s="2"/>
    </row>
    <row r="95" spans="1:56" x14ac:dyDescent="0.25">
      <c r="C95" s="3"/>
      <c r="D95" s="30"/>
      <c r="E95" s="3"/>
      <c r="F95" s="36"/>
      <c r="G95" s="3"/>
      <c r="H95" s="36"/>
      <c r="I95" s="3"/>
      <c r="J95" s="36"/>
      <c r="K95" s="3"/>
      <c r="L95" s="36"/>
      <c r="M95" s="3"/>
      <c r="N95" s="36"/>
      <c r="O95" s="3"/>
      <c r="P95" s="36"/>
      <c r="Q95" s="3"/>
      <c r="R95" s="36"/>
      <c r="S95" s="3"/>
      <c r="T95" s="36"/>
      <c r="U95" s="3"/>
      <c r="V95" s="36"/>
      <c r="W95" s="3"/>
      <c r="X95" s="36"/>
      <c r="Y95" s="3"/>
      <c r="Z95" s="36"/>
      <c r="AA95" s="3"/>
      <c r="AB95" s="36"/>
      <c r="AC95" s="66"/>
      <c r="AD95" s="76"/>
      <c r="AE95" s="76"/>
      <c r="AF95" s="2"/>
      <c r="AG95" s="2"/>
    </row>
    <row r="96" spans="1:56" x14ac:dyDescent="0.25">
      <c r="B96" s="1" t="s">
        <v>49</v>
      </c>
      <c r="C96" s="3">
        <f>C84-C94</f>
        <v>598888.78000000026</v>
      </c>
      <c r="D96" s="30"/>
      <c r="E96" s="3">
        <f>E84-E94</f>
        <v>24134.57</v>
      </c>
      <c r="F96" s="36"/>
      <c r="G96" s="3">
        <f>G84-G94</f>
        <v>9495.3499999999985</v>
      </c>
      <c r="H96" s="36"/>
      <c r="I96" s="3">
        <f>I84-I94</f>
        <v>72562.39</v>
      </c>
      <c r="J96" s="36"/>
      <c r="K96" s="3">
        <f>K84-K94</f>
        <v>43495.89</v>
      </c>
      <c r="L96" s="36"/>
      <c r="M96" s="3">
        <f>M84-M94</f>
        <v>53044.880000000005</v>
      </c>
      <c r="N96" s="36"/>
      <c r="O96" s="3">
        <f>O84-O94</f>
        <v>69522.899999999994</v>
      </c>
      <c r="P96" s="36"/>
      <c r="Q96" s="3">
        <f>Q84-Q94</f>
        <v>7832.2200000000012</v>
      </c>
      <c r="R96" s="36"/>
      <c r="S96" s="3">
        <f>S84-S94</f>
        <v>62596.57</v>
      </c>
      <c r="T96" s="36"/>
      <c r="U96" s="3">
        <f>U84-U94</f>
        <v>20340.799999999996</v>
      </c>
      <c r="V96" s="36"/>
      <c r="W96" s="3">
        <f>W84-W94</f>
        <v>29077.72</v>
      </c>
      <c r="X96" s="36"/>
      <c r="Y96" s="3">
        <f>Y84-Y94</f>
        <v>30243.88</v>
      </c>
      <c r="Z96" s="36"/>
      <c r="AA96" s="3">
        <f>AA84-AA94</f>
        <v>48872.72</v>
      </c>
      <c r="AB96" s="36"/>
      <c r="AC96" s="66"/>
      <c r="AF96" s="3">
        <f>AF84-AF94</f>
        <v>972686.67000000039</v>
      </c>
      <c r="AG96" s="2"/>
    </row>
    <row r="99" spans="1:32" ht="15" customHeight="1" x14ac:dyDescent="0.25">
      <c r="A99" s="2144" t="s">
        <v>132</v>
      </c>
      <c r="B99" s="2144"/>
      <c r="C99" s="2">
        <v>338000</v>
      </c>
      <c r="D99" s="2" t="s">
        <v>130</v>
      </c>
      <c r="E99" s="2">
        <v>0</v>
      </c>
      <c r="G99" s="2">
        <v>39000</v>
      </c>
      <c r="H99" s="39" t="s">
        <v>134</v>
      </c>
      <c r="I99" s="2">
        <v>0</v>
      </c>
      <c r="K99" s="2">
        <v>39000</v>
      </c>
      <c r="L99" s="39" t="s">
        <v>134</v>
      </c>
      <c r="M99" s="2">
        <v>0</v>
      </c>
      <c r="O99" s="2">
        <v>61621</v>
      </c>
      <c r="P99" s="39" t="s">
        <v>134</v>
      </c>
      <c r="Q99" s="2">
        <v>16378.88</v>
      </c>
      <c r="R99" s="39" t="s">
        <v>134</v>
      </c>
      <c r="S99" s="2">
        <v>0</v>
      </c>
      <c r="U99" s="2">
        <v>0</v>
      </c>
      <c r="W99" s="2">
        <v>0</v>
      </c>
      <c r="Y99" s="2">
        <v>0</v>
      </c>
      <c r="AA99" s="2">
        <v>0</v>
      </c>
      <c r="AF99" s="2">
        <f>SUM(C99,E99,G99,I99,K99,M99,O99,Q99,S99,U99,W99,Y99,AA99)</f>
        <v>493999.88</v>
      </c>
    </row>
    <row r="100" spans="1:32" x14ac:dyDescent="0.25">
      <c r="A100" s="2144"/>
      <c r="B100" s="2144"/>
      <c r="C100" s="45">
        <v>26000</v>
      </c>
      <c r="D100" s="2" t="s">
        <v>131</v>
      </c>
      <c r="E100" s="45">
        <v>0</v>
      </c>
      <c r="G100" s="45">
        <v>0</v>
      </c>
      <c r="I100" s="45">
        <v>0</v>
      </c>
      <c r="K100" s="45">
        <v>0</v>
      </c>
      <c r="M100" s="45">
        <v>0</v>
      </c>
      <c r="O100" s="45">
        <v>0</v>
      </c>
      <c r="Q100" s="45">
        <v>0</v>
      </c>
      <c r="S100" s="45">
        <v>0</v>
      </c>
      <c r="U100" s="45">
        <v>0</v>
      </c>
      <c r="W100" s="45">
        <v>0</v>
      </c>
      <c r="Y100" s="45">
        <v>0</v>
      </c>
      <c r="AA100" s="45">
        <v>0</v>
      </c>
      <c r="AF100" s="2">
        <f>SUM(C100,E100,G100,I100,K100,M100,O100,Q100,S100,U100,W100,Y100,AA100)</f>
        <v>26000</v>
      </c>
    </row>
    <row r="101" spans="1:32" x14ac:dyDescent="0.25">
      <c r="C101" s="2">
        <v>75000</v>
      </c>
      <c r="D101" s="2" t="s">
        <v>133</v>
      </c>
      <c r="E101" s="2">
        <v>0</v>
      </c>
      <c r="G101" s="2">
        <v>0</v>
      </c>
      <c r="I101" s="2">
        <v>0</v>
      </c>
      <c r="K101" s="2">
        <v>0</v>
      </c>
      <c r="M101" s="2">
        <v>0</v>
      </c>
      <c r="O101" s="2">
        <v>0</v>
      </c>
      <c r="Q101" s="2">
        <v>0</v>
      </c>
      <c r="S101" s="2">
        <v>0</v>
      </c>
      <c r="U101" s="2">
        <v>0</v>
      </c>
      <c r="W101" s="2">
        <v>0</v>
      </c>
      <c r="Y101" s="2">
        <v>0</v>
      </c>
      <c r="AA101" s="2">
        <v>0</v>
      </c>
      <c r="AF101" s="2">
        <f>SUM(C101,E101,G101,I101,K101,M101,O101,Q101,S101,U101,W101,Y101,AA101)</f>
        <v>75000</v>
      </c>
    </row>
    <row r="102" spans="1:32" ht="15" customHeight="1" x14ac:dyDescent="0.25">
      <c r="C102" s="2">
        <v>0</v>
      </c>
      <c r="D102" s="2"/>
      <c r="E102" s="2">
        <v>0</v>
      </c>
      <c r="G102" s="2">
        <v>0</v>
      </c>
      <c r="I102" s="2">
        <v>0</v>
      </c>
      <c r="K102" s="2">
        <v>0</v>
      </c>
      <c r="M102" s="2">
        <v>0</v>
      </c>
      <c r="O102" s="2">
        <v>0</v>
      </c>
      <c r="Q102" s="2">
        <v>0</v>
      </c>
      <c r="S102" s="2">
        <v>0</v>
      </c>
      <c r="U102" s="2">
        <v>0</v>
      </c>
      <c r="W102" s="2">
        <v>0</v>
      </c>
      <c r="Y102" s="2">
        <v>0</v>
      </c>
      <c r="AA102" s="2">
        <v>0</v>
      </c>
      <c r="AD102" s="2144"/>
      <c r="AE102" s="2144"/>
      <c r="AF102" s="2">
        <f>SUM(C102,E102,G102,I102,K102,M102,O102,Q102,S102,U102,W102,Y102,AA102)</f>
        <v>0</v>
      </c>
    </row>
    <row r="103" spans="1:32" x14ac:dyDescent="0.25">
      <c r="C103" s="16">
        <v>0</v>
      </c>
      <c r="D103" s="2"/>
      <c r="E103" s="16">
        <v>0</v>
      </c>
      <c r="G103" s="16">
        <v>0</v>
      </c>
      <c r="I103" s="16">
        <v>0</v>
      </c>
      <c r="K103" s="16">
        <v>0</v>
      </c>
      <c r="M103" s="16">
        <v>0</v>
      </c>
      <c r="O103" s="16">
        <v>0</v>
      </c>
      <c r="Q103" s="16">
        <v>0</v>
      </c>
      <c r="S103" s="16">
        <v>0</v>
      </c>
      <c r="U103" s="16">
        <v>0</v>
      </c>
      <c r="W103" s="16">
        <v>0</v>
      </c>
      <c r="Y103" s="16">
        <v>0</v>
      </c>
      <c r="AA103" s="16">
        <v>0</v>
      </c>
      <c r="AD103" s="2144"/>
      <c r="AE103" s="2144"/>
      <c r="AF103" s="2">
        <f>SUM(C103,E103,G103,I103,K103,M103,O103,Q103,S103,U103,W103,Y103,AA103)</f>
        <v>0</v>
      </c>
    </row>
    <row r="104" spans="1:32" x14ac:dyDescent="0.25">
      <c r="C104" s="38">
        <f>SUM(C99:C103)</f>
        <v>439000</v>
      </c>
      <c r="D104" s="2" t="s">
        <v>57</v>
      </c>
      <c r="E104" s="38">
        <f>SUM(E99:E103)</f>
        <v>0</v>
      </c>
      <c r="G104" s="38">
        <f>SUM(G99:G103)</f>
        <v>39000</v>
      </c>
      <c r="I104" s="38">
        <f>SUM(I99:I103)</f>
        <v>0</v>
      </c>
      <c r="K104" s="38">
        <f>SUM(K99:K103)</f>
        <v>39000</v>
      </c>
      <c r="M104" s="38">
        <f>SUM(M99:M103)</f>
        <v>0</v>
      </c>
      <c r="O104" s="38">
        <f>SUM(O99:O103)</f>
        <v>61621</v>
      </c>
      <c r="Q104" s="38">
        <f>SUM(Q99:Q103)</f>
        <v>16378.88</v>
      </c>
      <c r="S104" s="38">
        <f>SUM(S99:S103)</f>
        <v>0</v>
      </c>
      <c r="U104" s="38">
        <f>SUM(U99:U103)</f>
        <v>0</v>
      </c>
      <c r="W104" s="38">
        <f>SUM(W99:W103)</f>
        <v>0</v>
      </c>
      <c r="Y104" s="38">
        <f>SUM(Y99:Y103)</f>
        <v>0</v>
      </c>
      <c r="AA104" s="38">
        <f>SUM(AA99:AA103)</f>
        <v>0</v>
      </c>
      <c r="AF104" s="38">
        <f>SUM(AF99:AF103)</f>
        <v>594999.88</v>
      </c>
    </row>
    <row r="105" spans="1:32" x14ac:dyDescent="0.25">
      <c r="C105"/>
      <c r="D105" s="2"/>
      <c r="I105" s="39"/>
    </row>
    <row r="106" spans="1:32" x14ac:dyDescent="0.25">
      <c r="C106" s="2"/>
      <c r="D106" s="2"/>
      <c r="P106" s="45"/>
    </row>
    <row r="107" spans="1:32" ht="28.5" customHeight="1" x14ac:dyDescent="0.25">
      <c r="A107" s="2144" t="s">
        <v>135</v>
      </c>
      <c r="B107" s="2144"/>
      <c r="C107" s="49">
        <f>C96-C104</f>
        <v>159888.78000000026</v>
      </c>
      <c r="E107" s="49">
        <f>E96-E104</f>
        <v>24134.57</v>
      </c>
      <c r="G107" s="49">
        <f>G96-G104</f>
        <v>-29504.65</v>
      </c>
      <c r="I107" s="49">
        <f>I96-I104</f>
        <v>72562.39</v>
      </c>
      <c r="K107" s="49">
        <f>K96-K104</f>
        <v>4495.8899999999994</v>
      </c>
      <c r="M107" s="49">
        <f>M96-M104</f>
        <v>53044.880000000005</v>
      </c>
      <c r="O107" s="49">
        <f>O96-O104</f>
        <v>7901.8999999999942</v>
      </c>
      <c r="Q107" s="49">
        <f>Q96-Q104</f>
        <v>-8546.659999999998</v>
      </c>
      <c r="S107" s="49">
        <f>S96-S104</f>
        <v>62596.57</v>
      </c>
      <c r="U107" s="49">
        <f>U96-U104</f>
        <v>20340.799999999996</v>
      </c>
      <c r="W107" s="49">
        <f>W96-W104</f>
        <v>29077.72</v>
      </c>
      <c r="Y107" s="49">
        <f>Y96-Y104</f>
        <v>30243.88</v>
      </c>
      <c r="AA107" s="49">
        <f>AA96-AA104</f>
        <v>48872.72</v>
      </c>
      <c r="AF107" s="49">
        <f>AF96-AF104</f>
        <v>377686.79000000039</v>
      </c>
    </row>
    <row r="108" spans="1:32" x14ac:dyDescent="0.25">
      <c r="A108" s="54"/>
      <c r="B108" s="54"/>
      <c r="C108" s="2"/>
      <c r="D108" s="2"/>
    </row>
    <row r="109" spans="1:32" x14ac:dyDescent="0.25">
      <c r="C109" s="2"/>
      <c r="D109" s="2"/>
    </row>
  </sheetData>
  <mergeCells count="7">
    <mergeCell ref="A99:B100"/>
    <mergeCell ref="A107:B107"/>
    <mergeCell ref="A6:G6"/>
    <mergeCell ref="AD102:AE103"/>
    <mergeCell ref="H6:N6"/>
    <mergeCell ref="O6:U6"/>
    <mergeCell ref="V6:AB6"/>
  </mergeCells>
  <pageMargins left="0.25" right="0.25" top="0.17" bottom="0.17" header="0.17" footer="0.17"/>
  <pageSetup paperSize="17" scale="39" orientation="landscape" r:id="rId1"/>
  <headerFooter>
    <oddHeader>&amp;R&amp;A</oddHeader>
    <oddFooter>&amp;L&amp;F&amp;R&amp;A</oddFooter>
  </headerFooter>
  <colBreaks count="1" manualBreakCount="1">
    <brk id="8" max="1048575" man="1"/>
  </colBreaks>
  <ignoredErrors>
    <ignoredError sqref="A56 A41:A42 A21:A27 A80:A81 A83:A85 A29:A38 A71 A74 A76:A78 A66:A69"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
  <sheetViews>
    <sheetView showGridLines="0" showRowColHeaders="0" zoomScale="145" zoomScaleNormal="145" workbookViewId="0"/>
  </sheetViews>
  <sheetFormatPr defaultColWidth="9.140625" defaultRowHeight="15" x14ac:dyDescent="0.2"/>
  <cols>
    <col min="1" max="1" width="3.85546875" style="164" customWidth="1"/>
    <col min="2" max="10" width="9.140625" style="164" customWidth="1"/>
    <col min="11" max="11" width="3.5703125" style="164" customWidth="1"/>
    <col min="12" max="16384" width="9.140625" style="164"/>
  </cols>
  <sheetData>
    <row r="1" spans="1:1" x14ac:dyDescent="0.2">
      <c r="A1" s="164" t="s">
        <v>141</v>
      </c>
    </row>
  </sheetData>
  <sheetProtection password="DBAD" sheet="1" objects="1" scenarios="1"/>
  <printOptions horizontalCentered="1" verticalCentered="1"/>
  <pageMargins left="0.17" right="0.17" top="0.36" bottom="0.17" header="0.17" footer="0.17"/>
  <pageSetup orientation="portrait" r:id="rId1"/>
  <headerFooter>
    <oddHeader>&amp;L&amp;F</oddHeader>
    <oddFooter>&amp;R&amp;A</oddFooter>
  </headerFooter>
  <drawing r:id="rId2"/>
  <legacyDrawing r:id="rId3"/>
  <oleObjects>
    <mc:AlternateContent xmlns:mc="http://schemas.openxmlformats.org/markup-compatibility/2006">
      <mc:Choice Requires="x14">
        <oleObject progId="Acrobat Document" shapeId="25603" r:id="rId4">
          <objectPr defaultSize="0" autoPict="0" r:id="rId5">
            <anchor moveWithCells="1">
              <from>
                <xdr:col>0</xdr:col>
                <xdr:colOff>47625</xdr:colOff>
                <xdr:row>0</xdr:row>
                <xdr:rowOff>9525</xdr:rowOff>
              </from>
              <to>
                <xdr:col>11</xdr:col>
                <xdr:colOff>581025</xdr:colOff>
                <xdr:row>50</xdr:row>
                <xdr:rowOff>114300</xdr:rowOff>
              </to>
            </anchor>
          </objectPr>
        </oleObject>
      </mc:Choice>
      <mc:Fallback>
        <oleObject progId="Acrobat Document" shapeId="2560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H45:P83"/>
  <sheetViews>
    <sheetView showGridLines="0" zoomScaleNormal="100" workbookViewId="0"/>
  </sheetViews>
  <sheetFormatPr defaultRowHeight="15" x14ac:dyDescent="0.25"/>
  <cols>
    <col min="1" max="1" width="3" customWidth="1"/>
    <col min="9" max="9" width="14.42578125" customWidth="1"/>
    <col min="10" max="10" width="15.7109375" customWidth="1"/>
    <col min="15" max="15" width="16.7109375" customWidth="1"/>
    <col min="16" max="16" width="15.140625" customWidth="1"/>
    <col min="34" max="34" width="7.42578125" customWidth="1"/>
  </cols>
  <sheetData>
    <row r="45" spans="12:14" x14ac:dyDescent="0.25">
      <c r="L45" s="121" t="s">
        <v>941</v>
      </c>
      <c r="M45" s="2147">
        <v>-31107</v>
      </c>
      <c r="N45" s="2147"/>
    </row>
    <row r="46" spans="12:14" x14ac:dyDescent="0.25">
      <c r="L46" s="121" t="s">
        <v>940</v>
      </c>
      <c r="M46" s="2147">
        <v>-10054</v>
      </c>
      <c r="N46" s="2147"/>
    </row>
    <row r="47" spans="12:14" x14ac:dyDescent="0.25">
      <c r="L47" s="1" t="s">
        <v>942</v>
      </c>
      <c r="M47" s="2146">
        <f>64115798+M45+M46</f>
        <v>64074637</v>
      </c>
      <c r="N47" s="2146"/>
    </row>
    <row r="73" spans="8:16" x14ac:dyDescent="0.25">
      <c r="H73" s="2103"/>
      <c r="I73" s="2103"/>
      <c r="J73" s="2103"/>
      <c r="K73" s="2103"/>
      <c r="L73" s="2103"/>
      <c r="M73" s="2103"/>
      <c r="N73" s="2103"/>
      <c r="O73" s="2103"/>
      <c r="P73" s="2103"/>
    </row>
    <row r="74" spans="8:16" x14ac:dyDescent="0.25">
      <c r="H74" s="2103"/>
      <c r="I74" s="2103"/>
      <c r="J74" s="2103"/>
      <c r="K74" s="2103"/>
      <c r="L74" s="2103"/>
      <c r="M74" s="2103"/>
      <c r="N74" s="2103"/>
      <c r="O74" s="2103"/>
      <c r="P74" s="2103"/>
    </row>
    <row r="75" spans="8:16" x14ac:dyDescent="0.25">
      <c r="H75" s="2103"/>
      <c r="I75" s="2103"/>
      <c r="J75" s="2103"/>
      <c r="K75" s="2103"/>
      <c r="L75" s="2103"/>
      <c r="M75" s="2103"/>
      <c r="N75" s="2103"/>
      <c r="O75" s="2103"/>
      <c r="P75" s="2103"/>
    </row>
    <row r="76" spans="8:16" x14ac:dyDescent="0.25">
      <c r="H76" s="2103"/>
      <c r="I76" s="2103"/>
      <c r="J76" s="2104"/>
      <c r="K76" s="2103"/>
      <c r="L76" s="2103"/>
      <c r="M76" s="2103"/>
      <c r="N76" s="2103"/>
      <c r="O76" s="2103"/>
      <c r="P76" s="2104"/>
    </row>
    <row r="77" spans="8:16" x14ac:dyDescent="0.25">
      <c r="H77" s="2103"/>
      <c r="I77" s="2105"/>
      <c r="J77" s="2106"/>
      <c r="K77" s="2103"/>
      <c r="L77" s="2103"/>
      <c r="M77" s="2103"/>
      <c r="N77" s="2103"/>
      <c r="O77" s="2105"/>
      <c r="P77" s="2106"/>
    </row>
    <row r="78" spans="8:16" x14ac:dyDescent="0.25">
      <c r="H78" s="2103"/>
      <c r="I78" s="2105"/>
      <c r="J78" s="2106"/>
      <c r="K78" s="2103"/>
      <c r="L78" s="2103"/>
      <c r="M78" s="2103"/>
      <c r="N78" s="2103"/>
      <c r="O78" s="2105"/>
      <c r="P78" s="2106"/>
    </row>
    <row r="79" spans="8:16" x14ac:dyDescent="0.25">
      <c r="H79" s="2103"/>
      <c r="I79" s="26"/>
      <c r="J79" s="2107"/>
      <c r="K79" s="2103"/>
      <c r="L79" s="2103"/>
      <c r="M79" s="2103"/>
      <c r="N79" s="2103"/>
      <c r="O79" s="26"/>
      <c r="P79" s="2107"/>
    </row>
    <row r="80" spans="8:16" x14ac:dyDescent="0.25">
      <c r="H80" s="2103"/>
      <c r="I80" s="2103"/>
      <c r="J80" s="2103"/>
      <c r="K80" s="2103"/>
      <c r="L80" s="2103"/>
      <c r="M80" s="2103"/>
      <c r="N80" s="2103"/>
      <c r="O80" s="2103"/>
      <c r="P80" s="2103"/>
    </row>
    <row r="81" spans="8:16" x14ac:dyDescent="0.25">
      <c r="H81" s="2103"/>
      <c r="I81" s="2103"/>
      <c r="J81" s="2103"/>
      <c r="K81" s="2103"/>
      <c r="L81" s="2103"/>
      <c r="M81" s="2103"/>
      <c r="N81" s="2103"/>
      <c r="O81" s="2103"/>
      <c r="P81" s="2103"/>
    </row>
    <row r="82" spans="8:16" x14ac:dyDescent="0.25">
      <c r="H82" s="2103"/>
      <c r="I82" s="2103"/>
      <c r="J82" s="2103"/>
      <c r="K82" s="2103"/>
      <c r="L82" s="2103"/>
      <c r="M82" s="2103"/>
      <c r="N82" s="2103"/>
      <c r="O82" s="2103"/>
      <c r="P82" s="2103"/>
    </row>
    <row r="83" spans="8:16" x14ac:dyDescent="0.25">
      <c r="H83" s="2103"/>
      <c r="I83" s="2103"/>
      <c r="J83" s="2103"/>
      <c r="K83" s="2103"/>
      <c r="L83" s="2103"/>
      <c r="M83" s="2103"/>
      <c r="N83" s="2103"/>
      <c r="O83" s="2103"/>
      <c r="P83" s="2103"/>
    </row>
  </sheetData>
  <sheetProtection password="DBAD" sheet="1" objects="1" scenarios="1"/>
  <mergeCells count="3">
    <mergeCell ref="M47:N47"/>
    <mergeCell ref="M45:N45"/>
    <mergeCell ref="M46:N46"/>
  </mergeCells>
  <printOptions horizontalCentered="1"/>
  <pageMargins left="0.17" right="0.17" top="0.75" bottom="0.75" header="0.3" footer="0.3"/>
  <pageSetup paperSize="5" scale="52" orientation="landscape" r:id="rId1"/>
  <headerFooter>
    <oddHeader>&amp;L&amp;F&amp;R&amp;A</oddHeader>
  </headerFooter>
  <drawing r:id="rId2"/>
  <legacyDrawing r:id="rId3"/>
  <oleObjects>
    <mc:AlternateContent xmlns:mc="http://schemas.openxmlformats.org/markup-compatibility/2006">
      <mc:Choice Requires="x14">
        <oleObject progId="Worksheet" shapeId="33793" r:id="rId4">
          <objectPr defaultSize="0" autoPict="0" r:id="rId5">
            <anchor moveWithCells="1">
              <from>
                <xdr:col>0</xdr:col>
                <xdr:colOff>28575</xdr:colOff>
                <xdr:row>0</xdr:row>
                <xdr:rowOff>28575</xdr:rowOff>
              </from>
              <to>
                <xdr:col>40</xdr:col>
                <xdr:colOff>552450</xdr:colOff>
                <xdr:row>43</xdr:row>
                <xdr:rowOff>95250</xdr:rowOff>
              </to>
            </anchor>
          </objectPr>
        </oleObject>
      </mc:Choice>
      <mc:Fallback>
        <oleObject progId="Worksheet" shapeId="3379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zoomScaleNormal="100" workbookViewId="0">
      <pane ySplit="1" topLeftCell="A53" activePane="bottomLeft" state="frozen"/>
      <selection pane="bottomLeft" activeCell="E74" sqref="E74"/>
    </sheetView>
  </sheetViews>
  <sheetFormatPr defaultRowHeight="12.75" x14ac:dyDescent="0.2"/>
  <cols>
    <col min="1" max="1" width="29.42578125" style="561" customWidth="1"/>
    <col min="2" max="3" width="10.140625" style="664" customWidth="1"/>
    <col min="4" max="5" width="12.140625" style="562" customWidth="1"/>
    <col min="6" max="8" width="12.140625" style="561" customWidth="1"/>
    <col min="9" max="9" width="44.5703125" style="561" bestFit="1" customWidth="1"/>
    <col min="10" max="10" width="9.140625" style="561"/>
    <col min="11" max="11" width="14" style="561" bestFit="1" customWidth="1"/>
    <col min="12" max="16384" width="9.140625" style="561"/>
  </cols>
  <sheetData>
    <row r="1" spans="1:11" s="586" customFormat="1" ht="17.25" thickTop="1" x14ac:dyDescent="0.3">
      <c r="A1" s="614" t="s">
        <v>685</v>
      </c>
      <c r="B1" s="656" t="s">
        <v>684</v>
      </c>
      <c r="C1" s="656" t="s">
        <v>683</v>
      </c>
      <c r="D1" s="613" t="s">
        <v>682</v>
      </c>
      <c r="E1" s="612" t="s">
        <v>298</v>
      </c>
      <c r="F1" s="611" t="s">
        <v>299</v>
      </c>
      <c r="G1" s="611" t="s">
        <v>300</v>
      </c>
      <c r="H1" s="611" t="s">
        <v>301</v>
      </c>
      <c r="I1" s="611" t="s">
        <v>681</v>
      </c>
    </row>
    <row r="2" spans="1:11" ht="16.5" x14ac:dyDescent="0.3">
      <c r="A2" s="610" t="s">
        <v>680</v>
      </c>
      <c r="B2" s="657"/>
      <c r="C2" s="657"/>
      <c r="D2" s="609"/>
      <c r="E2" s="608"/>
      <c r="F2" s="607"/>
      <c r="G2" s="607"/>
      <c r="H2" s="607"/>
      <c r="I2" s="607"/>
    </row>
    <row r="3" spans="1:11" ht="16.5" x14ac:dyDescent="0.3">
      <c r="A3" s="572" t="s">
        <v>679</v>
      </c>
      <c r="B3" s="658" t="s">
        <v>678</v>
      </c>
      <c r="C3" s="658"/>
      <c r="D3" s="593">
        <v>149454.15</v>
      </c>
      <c r="E3" s="591">
        <v>79154</v>
      </c>
      <c r="F3" s="599">
        <v>0</v>
      </c>
      <c r="G3" s="599">
        <v>0</v>
      </c>
      <c r="H3" s="599">
        <v>0</v>
      </c>
      <c r="I3" s="561" t="s">
        <v>677</v>
      </c>
    </row>
    <row r="4" spans="1:11" ht="16.5" x14ac:dyDescent="0.3">
      <c r="A4" s="572" t="s">
        <v>676</v>
      </c>
      <c r="B4" s="658">
        <v>3010</v>
      </c>
      <c r="C4" s="658">
        <v>8290</v>
      </c>
      <c r="D4" s="593">
        <v>885470.63</v>
      </c>
      <c r="E4" s="591">
        <f>+'RS 3010'!D10</f>
        <v>1363096.26</v>
      </c>
      <c r="F4" s="599">
        <f>+'RS 3010'!H10</f>
        <v>1765058</v>
      </c>
      <c r="G4" s="599">
        <f>+'RS 3010'!L10</f>
        <v>1804172</v>
      </c>
      <c r="H4" s="599">
        <f>+'RS 3010'!P10</f>
        <v>1846570</v>
      </c>
      <c r="I4" s="561" t="s">
        <v>657</v>
      </c>
      <c r="K4" s="599"/>
    </row>
    <row r="5" spans="1:11" ht="16.5" x14ac:dyDescent="0.3">
      <c r="A5" s="572" t="s">
        <v>675</v>
      </c>
      <c r="B5" s="658">
        <v>3010</v>
      </c>
      <c r="C5" s="658">
        <v>8290</v>
      </c>
      <c r="D5" s="593">
        <v>1099576.58</v>
      </c>
      <c r="E5" s="591">
        <f>+'RS 3010'!D11</f>
        <v>1062358.3700000001</v>
      </c>
      <c r="F5" s="599">
        <f>+'RS 3010'!H11</f>
        <v>599346</v>
      </c>
      <c r="G5" s="599">
        <f>+'RS 3010'!L11</f>
        <v>0</v>
      </c>
      <c r="H5" s="599">
        <f>+'RS 3010'!P11</f>
        <v>0</v>
      </c>
      <c r="I5" s="561" t="s">
        <v>662</v>
      </c>
    </row>
    <row r="6" spans="1:11" ht="16.5" x14ac:dyDescent="0.3">
      <c r="A6" s="572" t="s">
        <v>674</v>
      </c>
      <c r="B6" s="658">
        <v>3011</v>
      </c>
      <c r="C6" s="658">
        <v>8287</v>
      </c>
      <c r="D6" s="593">
        <v>7471.26</v>
      </c>
      <c r="E6" s="591">
        <v>0</v>
      </c>
      <c r="F6" s="599">
        <v>0</v>
      </c>
      <c r="G6" s="599">
        <v>0</v>
      </c>
      <c r="H6" s="599">
        <v>0</v>
      </c>
      <c r="I6" s="561" t="s">
        <v>657</v>
      </c>
    </row>
    <row r="7" spans="1:11" ht="16.5" x14ac:dyDescent="0.3">
      <c r="A7" s="572" t="s">
        <v>672</v>
      </c>
      <c r="B7" s="658" t="s">
        <v>673</v>
      </c>
      <c r="C7" s="658">
        <v>8181</v>
      </c>
      <c r="D7" s="593">
        <v>1668877</v>
      </c>
      <c r="E7" s="591">
        <f>+'RS 3310'!D9+'RS 3311'!D9</f>
        <v>1646059</v>
      </c>
      <c r="F7" s="599">
        <f>+'RS 3310'!H9+'RS 3311'!H9</f>
        <v>1722922</v>
      </c>
      <c r="G7" s="599">
        <f>+'RS 3310'!L9+'RS 3311'!L9</f>
        <v>1722922</v>
      </c>
      <c r="H7" s="599">
        <f>+'RS 3310'!P9+'RS 3311'!P9</f>
        <v>1722922</v>
      </c>
      <c r="I7" s="561" t="s">
        <v>626</v>
      </c>
    </row>
    <row r="8" spans="1:11" ht="16.5" x14ac:dyDescent="0.3">
      <c r="A8" s="572" t="s">
        <v>672</v>
      </c>
      <c r="B8" s="658">
        <v>3310</v>
      </c>
      <c r="C8" s="658">
        <v>8287</v>
      </c>
      <c r="D8" s="593">
        <v>12203</v>
      </c>
      <c r="E8" s="591">
        <f>+'RS 3310'!D10</f>
        <v>7500</v>
      </c>
      <c r="F8" s="599">
        <f>+'RS 3310'!H10</f>
        <v>10325</v>
      </c>
      <c r="G8" s="599">
        <f>+'RS 3310'!L10</f>
        <v>10325</v>
      </c>
      <c r="H8" s="599">
        <f>+'RS 3310'!P10</f>
        <v>10325</v>
      </c>
    </row>
    <row r="9" spans="1:11" ht="16.5" x14ac:dyDescent="0.3">
      <c r="A9" s="572" t="s">
        <v>671</v>
      </c>
      <c r="B9" s="658">
        <v>4035</v>
      </c>
      <c r="C9" s="658">
        <v>8290</v>
      </c>
      <c r="D9" s="593">
        <v>225859.22</v>
      </c>
      <c r="E9" s="591">
        <f>+'RS 4035'!D9</f>
        <v>210664</v>
      </c>
      <c r="F9" s="599">
        <f>+'RS 4035'!H9</f>
        <v>245169</v>
      </c>
      <c r="G9" s="599">
        <f>+'RS 4035'!L9</f>
        <v>215193</v>
      </c>
      <c r="H9" s="599">
        <f>+'RS 4035'!P9</f>
        <v>220250</v>
      </c>
      <c r="I9" s="561" t="s">
        <v>657</v>
      </c>
    </row>
    <row r="10" spans="1:11" ht="16.5" x14ac:dyDescent="0.3">
      <c r="A10" s="572" t="s">
        <v>670</v>
      </c>
      <c r="B10" s="658">
        <v>4035</v>
      </c>
      <c r="C10" s="658">
        <v>8290</v>
      </c>
      <c r="D10" s="593">
        <v>73591.13</v>
      </c>
      <c r="E10" s="591">
        <f>+'RS 4035'!D10</f>
        <v>-1081.22</v>
      </c>
      <c r="F10" s="599">
        <f>+'RS 4035'!H10</f>
        <v>0</v>
      </c>
      <c r="G10" s="599">
        <f>+'RS 4035'!L10</f>
        <v>38613</v>
      </c>
      <c r="H10" s="599">
        <f>+'RS 4035'!P10</f>
        <v>19638</v>
      </c>
      <c r="I10" s="561" t="s">
        <v>669</v>
      </c>
    </row>
    <row r="11" spans="1:11" ht="16.5" x14ac:dyDescent="0.3">
      <c r="A11" s="572" t="s">
        <v>668</v>
      </c>
      <c r="B11" s="658">
        <v>4036</v>
      </c>
      <c r="C11" s="658"/>
      <c r="D11" s="593">
        <v>0</v>
      </c>
      <c r="E11" s="591">
        <v>0</v>
      </c>
      <c r="F11" s="599">
        <v>0</v>
      </c>
      <c r="G11" s="599">
        <v>0</v>
      </c>
      <c r="H11" s="599">
        <v>0</v>
      </c>
      <c r="I11" s="561" t="s">
        <v>657</v>
      </c>
    </row>
    <row r="12" spans="1:11" ht="16.5" x14ac:dyDescent="0.3">
      <c r="A12" s="572" t="s">
        <v>667</v>
      </c>
      <c r="B12" s="658">
        <v>4201</v>
      </c>
      <c r="C12" s="658"/>
      <c r="D12" s="593">
        <f>14250-815.3</f>
        <v>13434.7</v>
      </c>
      <c r="E12" s="591">
        <f>+'RS 4201'!D9</f>
        <v>20112</v>
      </c>
      <c r="F12" s="599">
        <f>+'RS 4201'!H9</f>
        <v>22535</v>
      </c>
      <c r="G12" s="599">
        <f>+'RS 4201'!L9</f>
        <v>22535</v>
      </c>
      <c r="H12" s="599">
        <f>+'RS 4201'!P9</f>
        <v>22535</v>
      </c>
      <c r="I12" s="561" t="s">
        <v>666</v>
      </c>
    </row>
    <row r="13" spans="1:11" ht="16.5" x14ac:dyDescent="0.3">
      <c r="A13" s="572" t="s">
        <v>665</v>
      </c>
      <c r="B13" s="658">
        <v>4201</v>
      </c>
      <c r="C13" s="658"/>
      <c r="D13" s="593"/>
      <c r="E13" s="591">
        <f>+'RS 4201'!D10</f>
        <v>3416.3</v>
      </c>
      <c r="F13" s="599">
        <f>+'RS 4201'!H10</f>
        <v>0</v>
      </c>
      <c r="G13" s="599">
        <f>+'RS 4201'!L10</f>
        <v>0</v>
      </c>
      <c r="H13" s="599">
        <f>+'RS 4201'!P10</f>
        <v>0</v>
      </c>
      <c r="I13" s="561" t="s">
        <v>662</v>
      </c>
    </row>
    <row r="14" spans="1:11" ht="16.5" x14ac:dyDescent="0.3">
      <c r="A14" s="572" t="s">
        <v>664</v>
      </c>
      <c r="B14" s="658">
        <v>4203</v>
      </c>
      <c r="C14" s="658"/>
      <c r="D14" s="593">
        <v>90721</v>
      </c>
      <c r="E14" s="591">
        <f>+'RS 4203'!D9</f>
        <v>112791</v>
      </c>
      <c r="F14" s="599">
        <f>+'RS 4203'!H9</f>
        <v>109710</v>
      </c>
      <c r="G14" s="599">
        <f>+'RS 4203'!L9</f>
        <v>109710</v>
      </c>
      <c r="H14" s="599">
        <f>+'RS 4203'!P9</f>
        <v>109710</v>
      </c>
      <c r="I14" s="561" t="s">
        <v>657</v>
      </c>
    </row>
    <row r="15" spans="1:11" ht="16.5" x14ac:dyDescent="0.3">
      <c r="A15" s="572" t="s">
        <v>663</v>
      </c>
      <c r="B15" s="658">
        <v>4203</v>
      </c>
      <c r="C15" s="658"/>
      <c r="D15" s="593">
        <f>13413-888.11</f>
        <v>12524.89</v>
      </c>
      <c r="E15" s="591">
        <f>+'RS 4203'!D10</f>
        <v>37453.199999999997</v>
      </c>
      <c r="F15" s="599">
        <f>+'RS 4203'!H10</f>
        <v>0</v>
      </c>
      <c r="G15" s="599">
        <f>+'RS 4203'!L10</f>
        <v>0</v>
      </c>
      <c r="H15" s="599">
        <f>+'RS 4203'!P10</f>
        <v>0</v>
      </c>
      <c r="I15" s="561" t="s">
        <v>662</v>
      </c>
    </row>
    <row r="16" spans="1:11" ht="16.5" x14ac:dyDescent="0.3">
      <c r="A16" s="572" t="s">
        <v>661</v>
      </c>
      <c r="B16" s="658">
        <v>5640</v>
      </c>
      <c r="C16" s="658"/>
      <c r="D16" s="593">
        <v>102458.82</v>
      </c>
      <c r="E16" s="591">
        <f>+'RS 5640'!D9</f>
        <v>179888</v>
      </c>
      <c r="F16" s="599">
        <f>+'RS 5640'!H9</f>
        <v>160761</v>
      </c>
      <c r="G16" s="599">
        <f>+'RS 5640'!L9</f>
        <v>160761</v>
      </c>
      <c r="H16" s="599">
        <f>+'RS 5640'!P9</f>
        <v>160761</v>
      </c>
      <c r="I16" s="561" t="s">
        <v>660</v>
      </c>
    </row>
    <row r="17" spans="1:11" s="589" customFormat="1" ht="16.5" x14ac:dyDescent="0.3">
      <c r="A17" s="606" t="s">
        <v>659</v>
      </c>
      <c r="B17" s="659"/>
      <c r="C17" s="659"/>
      <c r="D17" s="596"/>
      <c r="E17" s="595"/>
      <c r="F17" s="596"/>
      <c r="G17" s="596"/>
      <c r="H17" s="596"/>
      <c r="I17" s="594"/>
    </row>
    <row r="18" spans="1:11" ht="16.5" x14ac:dyDescent="0.3">
      <c r="A18" s="572" t="s">
        <v>658</v>
      </c>
      <c r="B18" s="658" t="s">
        <v>588</v>
      </c>
      <c r="C18" s="658" t="s">
        <v>655</v>
      </c>
      <c r="D18" s="593">
        <v>226176</v>
      </c>
      <c r="E18" s="591">
        <f>+'RS 00XX &amp; 1400'!D12</f>
        <v>223536</v>
      </c>
      <c r="F18" s="599">
        <f>+'RS 00XX &amp; 1400'!H12</f>
        <v>220000</v>
      </c>
      <c r="G18" s="599">
        <f>+'RS 00XX &amp; 1400'!L12</f>
        <v>218575</v>
      </c>
      <c r="H18" s="599">
        <f>+'RS 00XX &amp; 1400'!P12</f>
        <v>218193</v>
      </c>
      <c r="I18" s="561" t="s">
        <v>657</v>
      </c>
    </row>
    <row r="19" spans="1:11" ht="16.5" x14ac:dyDescent="0.3">
      <c r="A19" s="572" t="s">
        <v>656</v>
      </c>
      <c r="B19" s="658" t="s">
        <v>588</v>
      </c>
      <c r="C19" s="658" t="s">
        <v>655</v>
      </c>
      <c r="D19" s="593">
        <v>4212110</v>
      </c>
      <c r="E19" s="591">
        <f>+'RS 00XX &amp; 1400'!D13</f>
        <v>1687542</v>
      </c>
      <c r="F19" s="599">
        <f>+'RS 00XX &amp; 1400'!H13</f>
        <v>0</v>
      </c>
      <c r="G19" s="599">
        <f>+'RS 00XX &amp; 1400'!L13</f>
        <v>0</v>
      </c>
      <c r="H19" s="599">
        <f>+'RS 00XX &amp; 1400'!P13</f>
        <v>0</v>
      </c>
      <c r="I19" s="561" t="s">
        <v>654</v>
      </c>
    </row>
    <row r="20" spans="1:11" ht="16.5" x14ac:dyDescent="0.3">
      <c r="A20" s="572" t="s">
        <v>653</v>
      </c>
      <c r="B20" s="658" t="s">
        <v>588</v>
      </c>
      <c r="C20" s="658" t="s">
        <v>623</v>
      </c>
      <c r="D20" s="593">
        <v>1939.94</v>
      </c>
      <c r="E20" s="591">
        <v>1940</v>
      </c>
      <c r="F20" s="599">
        <f>E20</f>
        <v>1940</v>
      </c>
      <c r="G20" s="599">
        <f t="shared" ref="G20:H22" si="0">E20</f>
        <v>1940</v>
      </c>
      <c r="H20" s="599">
        <f t="shared" si="0"/>
        <v>1940</v>
      </c>
      <c r="K20" s="605"/>
    </row>
    <row r="21" spans="1:11" ht="16.5" x14ac:dyDescent="0.3">
      <c r="A21" s="572" t="s">
        <v>652</v>
      </c>
      <c r="B21" s="658" t="s">
        <v>650</v>
      </c>
      <c r="C21" s="658" t="s">
        <v>623</v>
      </c>
      <c r="D21" s="593">
        <v>17360.54</v>
      </c>
      <c r="E21" s="591">
        <v>22478.78</v>
      </c>
      <c r="F21" s="599">
        <f>E21</f>
        <v>22478.78</v>
      </c>
      <c r="G21" s="599">
        <f t="shared" si="0"/>
        <v>22478.78</v>
      </c>
      <c r="H21" s="599">
        <f t="shared" si="0"/>
        <v>22478.78</v>
      </c>
    </row>
    <row r="22" spans="1:11" ht="16.5" x14ac:dyDescent="0.3">
      <c r="A22" s="572" t="s">
        <v>651</v>
      </c>
      <c r="B22" s="658" t="s">
        <v>650</v>
      </c>
      <c r="C22" s="658" t="s">
        <v>623</v>
      </c>
      <c r="D22" s="593">
        <v>6525</v>
      </c>
      <c r="E22" s="591">
        <f>28688.78-E21</f>
        <v>6210</v>
      </c>
      <c r="F22" s="599">
        <f>E22</f>
        <v>6210</v>
      </c>
      <c r="G22" s="599">
        <f t="shared" si="0"/>
        <v>6210</v>
      </c>
      <c r="H22" s="599">
        <f t="shared" si="0"/>
        <v>6210</v>
      </c>
    </row>
    <row r="23" spans="1:11" ht="16.5" x14ac:dyDescent="0.3">
      <c r="A23" s="572" t="s">
        <v>649</v>
      </c>
      <c r="B23" s="658" t="s">
        <v>647</v>
      </c>
      <c r="C23" s="658" t="s">
        <v>642</v>
      </c>
      <c r="D23" s="593">
        <v>1230587.26</v>
      </c>
      <c r="E23" s="591">
        <f>+'RS 1100'!D9</f>
        <v>1090180</v>
      </c>
      <c r="F23" s="599">
        <f>+'RS 1100'!H9</f>
        <v>1117527</v>
      </c>
      <c r="G23" s="599">
        <f>+'RS 1100'!L9</f>
        <v>1141554</v>
      </c>
      <c r="H23" s="599">
        <f>+'RS 1100'!P9</f>
        <v>1168381</v>
      </c>
      <c r="I23" s="561" t="s">
        <v>645</v>
      </c>
    </row>
    <row r="24" spans="1:11" ht="16.5" x14ac:dyDescent="0.3">
      <c r="A24" s="572" t="s">
        <v>648</v>
      </c>
      <c r="B24" s="658" t="s">
        <v>647</v>
      </c>
      <c r="C24" s="658" t="s">
        <v>642</v>
      </c>
      <c r="D24" s="593">
        <v>13997.02</v>
      </c>
      <c r="E24" s="591">
        <v>0</v>
      </c>
      <c r="F24" s="599"/>
      <c r="G24" s="599"/>
      <c r="H24" s="599"/>
    </row>
    <row r="25" spans="1:11" ht="16.5" x14ac:dyDescent="0.3">
      <c r="A25" s="572" t="s">
        <v>646</v>
      </c>
      <c r="B25" s="660" t="s">
        <v>643</v>
      </c>
      <c r="C25" s="660" t="s">
        <v>642</v>
      </c>
      <c r="D25" s="593">
        <v>409115.19</v>
      </c>
      <c r="E25" s="591">
        <f>+'RS 6300'!D9</f>
        <v>345197</v>
      </c>
      <c r="F25" s="599">
        <f>+'RS 6300'!H9</f>
        <v>349227</v>
      </c>
      <c r="G25" s="599">
        <f>+'RS 6300'!L9</f>
        <v>356735</v>
      </c>
      <c r="H25" s="599">
        <f>+'RS 6300'!P9</f>
        <v>365118</v>
      </c>
      <c r="I25" s="561" t="s">
        <v>645</v>
      </c>
    </row>
    <row r="26" spans="1:11" ht="16.5" x14ac:dyDescent="0.3">
      <c r="A26" s="572" t="s">
        <v>644</v>
      </c>
      <c r="B26" s="660" t="s">
        <v>643</v>
      </c>
      <c r="C26" s="660" t="s">
        <v>642</v>
      </c>
      <c r="D26" s="593">
        <v>20338.64</v>
      </c>
      <c r="E26" s="591">
        <v>0</v>
      </c>
      <c r="F26" s="599">
        <v>0</v>
      </c>
      <c r="G26" s="599">
        <v>0</v>
      </c>
      <c r="H26" s="599">
        <v>0</v>
      </c>
    </row>
    <row r="27" spans="1:11" ht="16.5" x14ac:dyDescent="0.3">
      <c r="A27" s="572" t="s">
        <v>641</v>
      </c>
      <c r="B27" s="660" t="s">
        <v>640</v>
      </c>
      <c r="C27" s="660"/>
      <c r="D27" s="593">
        <v>217800</v>
      </c>
      <c r="E27" s="591">
        <v>217800</v>
      </c>
      <c r="F27" s="599">
        <v>217800</v>
      </c>
      <c r="G27" s="599">
        <v>217800</v>
      </c>
      <c r="H27" s="599">
        <v>217800</v>
      </c>
      <c r="I27" s="561" t="s">
        <v>639</v>
      </c>
    </row>
    <row r="28" spans="1:11" ht="16.5" x14ac:dyDescent="0.3">
      <c r="A28" s="572" t="s">
        <v>283</v>
      </c>
      <c r="B28" s="660" t="s">
        <v>638</v>
      </c>
      <c r="C28" s="660" t="s">
        <v>623</v>
      </c>
      <c r="D28" s="593">
        <v>662597</v>
      </c>
      <c r="E28" s="591">
        <v>0</v>
      </c>
      <c r="F28" s="599">
        <v>0</v>
      </c>
      <c r="G28" s="599">
        <v>0</v>
      </c>
      <c r="H28" s="599">
        <v>0</v>
      </c>
      <c r="I28" s="561" t="s">
        <v>637</v>
      </c>
      <c r="K28" s="598"/>
    </row>
    <row r="29" spans="1:11" ht="16.5" x14ac:dyDescent="0.3">
      <c r="A29" s="572" t="s">
        <v>636</v>
      </c>
      <c r="B29" s="660" t="s">
        <v>635</v>
      </c>
      <c r="C29" s="660" t="s">
        <v>623</v>
      </c>
      <c r="D29" s="593">
        <v>305572</v>
      </c>
      <c r="E29" s="591">
        <f>+'RS 6230'!D9</f>
        <v>466785</v>
      </c>
      <c r="F29" s="598">
        <f>+'RS 6300'!L9</f>
        <v>356735</v>
      </c>
      <c r="G29" s="598">
        <v>0</v>
      </c>
      <c r="H29" s="598">
        <v>0</v>
      </c>
      <c r="I29" s="561" t="s">
        <v>634</v>
      </c>
    </row>
    <row r="30" spans="1:11" ht="16.5" x14ac:dyDescent="0.3">
      <c r="A30" s="572" t="s">
        <v>281</v>
      </c>
      <c r="B30" s="660" t="s">
        <v>633</v>
      </c>
      <c r="C30" s="660" t="s">
        <v>632</v>
      </c>
      <c r="D30" s="593">
        <v>617840.06000000006</v>
      </c>
      <c r="E30" s="591">
        <f>+'RS 7810'!D7</f>
        <v>-190310.3</v>
      </c>
      <c r="F30" s="598">
        <v>0</v>
      </c>
      <c r="G30" s="598">
        <v>0</v>
      </c>
      <c r="H30" s="598">
        <v>0</v>
      </c>
    </row>
    <row r="31" spans="1:11" ht="16.5" x14ac:dyDescent="0.3">
      <c r="A31" s="572" t="s">
        <v>631</v>
      </c>
      <c r="B31" s="660" t="s">
        <v>630</v>
      </c>
      <c r="C31" s="660" t="s">
        <v>608</v>
      </c>
      <c r="D31" s="593">
        <v>0</v>
      </c>
      <c r="E31" s="591">
        <v>8100</v>
      </c>
      <c r="F31" s="599">
        <v>8100</v>
      </c>
      <c r="G31" s="599">
        <v>8100</v>
      </c>
      <c r="H31" s="599">
        <v>8100</v>
      </c>
      <c r="I31" s="561" t="s">
        <v>629</v>
      </c>
    </row>
    <row r="32" spans="1:11" s="601" customFormat="1" ht="16.5" x14ac:dyDescent="0.3">
      <c r="A32" s="604"/>
      <c r="B32" s="660"/>
      <c r="C32" s="660"/>
      <c r="D32" s="603"/>
      <c r="E32" s="602"/>
      <c r="F32" s="599"/>
      <c r="G32" s="599"/>
      <c r="H32" s="599"/>
    </row>
    <row r="33" spans="1:9" ht="16.5" x14ac:dyDescent="0.3">
      <c r="A33" s="572" t="s">
        <v>628</v>
      </c>
      <c r="B33" s="660" t="s">
        <v>619</v>
      </c>
      <c r="C33" s="660" t="s">
        <v>627</v>
      </c>
      <c r="D33" s="593">
        <v>1004376</v>
      </c>
      <c r="E33" s="591">
        <v>1041447</v>
      </c>
      <c r="F33" s="599">
        <f>E33</f>
        <v>1041447</v>
      </c>
      <c r="G33" s="599">
        <f>E33</f>
        <v>1041447</v>
      </c>
      <c r="H33" s="599">
        <f>F33</f>
        <v>1041447</v>
      </c>
      <c r="I33" s="561" t="s">
        <v>626</v>
      </c>
    </row>
    <row r="34" spans="1:9" ht="16.5" x14ac:dyDescent="0.3">
      <c r="A34" s="572" t="s">
        <v>625</v>
      </c>
      <c r="B34" s="660" t="s">
        <v>624</v>
      </c>
      <c r="C34" s="660" t="s">
        <v>623</v>
      </c>
      <c r="D34" s="600">
        <v>9000</v>
      </c>
      <c r="E34" s="591">
        <v>18000</v>
      </c>
      <c r="F34" s="599">
        <v>0</v>
      </c>
      <c r="G34" s="599">
        <v>0</v>
      </c>
      <c r="H34" s="599">
        <v>0</v>
      </c>
    </row>
    <row r="35" spans="1:9" ht="16.5" x14ac:dyDescent="0.3">
      <c r="A35" s="572" t="s">
        <v>622</v>
      </c>
      <c r="B35" s="660" t="s">
        <v>619</v>
      </c>
      <c r="C35" s="660" t="s">
        <v>608</v>
      </c>
      <c r="D35" s="600">
        <f>81200+203850.19</f>
        <v>285050.19</v>
      </c>
      <c r="E35" s="591">
        <f>+'RS 6500'!D10</f>
        <v>453060</v>
      </c>
      <c r="F35" s="599">
        <f>+'RS 6500'!H10</f>
        <v>332039</v>
      </c>
      <c r="G35" s="599">
        <f>+'RS 6500'!L10</f>
        <v>339178</v>
      </c>
      <c r="H35" s="599">
        <f>+'RS 6500'!P10</f>
        <v>347149</v>
      </c>
      <c r="I35" s="561" t="s">
        <v>621</v>
      </c>
    </row>
    <row r="36" spans="1:9" ht="16.5" x14ac:dyDescent="0.3">
      <c r="A36" s="572" t="s">
        <v>620</v>
      </c>
      <c r="B36" s="660" t="s">
        <v>619</v>
      </c>
      <c r="C36" s="660" t="s">
        <v>618</v>
      </c>
      <c r="D36" s="593">
        <f>3209913</f>
        <v>3209913</v>
      </c>
      <c r="E36" s="591">
        <f>+'RS 6500'!D11</f>
        <v>3049695</v>
      </c>
      <c r="F36" s="599">
        <f>+'RS 6500'!H11</f>
        <v>3147319</v>
      </c>
      <c r="G36" s="599">
        <f>+'RS 6500'!L11</f>
        <v>3214986</v>
      </c>
      <c r="H36" s="599">
        <f>+'RS 6500'!P11</f>
        <v>3290538</v>
      </c>
      <c r="I36" s="561" t="s">
        <v>617</v>
      </c>
    </row>
    <row r="37" spans="1:9" ht="16.5" x14ac:dyDescent="0.3">
      <c r="A37" s="597" t="s">
        <v>616</v>
      </c>
      <c r="B37" s="661"/>
      <c r="C37" s="661"/>
      <c r="D37" s="596"/>
      <c r="E37" s="595"/>
      <c r="F37" s="594"/>
      <c r="G37" s="594"/>
      <c r="H37" s="594"/>
      <c r="I37" s="594"/>
    </row>
    <row r="38" spans="1:9" ht="16.5" x14ac:dyDescent="0.3">
      <c r="A38" s="592" t="s">
        <v>615</v>
      </c>
      <c r="B38" s="662" t="s">
        <v>588</v>
      </c>
      <c r="C38" s="662" t="s">
        <v>614</v>
      </c>
      <c r="D38" s="593">
        <v>158432.89000000001</v>
      </c>
      <c r="E38" s="591">
        <f>+'RS 00XX &amp; 1400'!D21</f>
        <v>137897</v>
      </c>
      <c r="F38" s="598">
        <f>E38</f>
        <v>137897</v>
      </c>
      <c r="G38" s="598">
        <f>E38*1.0242</f>
        <v>141234.10740000001</v>
      </c>
      <c r="H38" s="598">
        <f>F38*1.0242</f>
        <v>141234.10740000001</v>
      </c>
      <c r="I38" s="589"/>
    </row>
    <row r="39" spans="1:9" ht="16.5" x14ac:dyDescent="0.3">
      <c r="A39" s="592" t="s">
        <v>613</v>
      </c>
      <c r="B39" s="662" t="s">
        <v>588</v>
      </c>
      <c r="C39" s="662" t="s">
        <v>612</v>
      </c>
      <c r="D39" s="593">
        <v>4746.1099999999997</v>
      </c>
      <c r="E39" s="591">
        <v>1000</v>
      </c>
      <c r="F39" s="598">
        <v>1000</v>
      </c>
      <c r="G39" s="598">
        <v>1000</v>
      </c>
      <c r="H39" s="598">
        <v>1000</v>
      </c>
      <c r="I39" s="589"/>
    </row>
    <row r="40" spans="1:9" ht="16.5" x14ac:dyDescent="0.3">
      <c r="A40" s="592" t="s">
        <v>611</v>
      </c>
      <c r="B40" s="662" t="s">
        <v>588</v>
      </c>
      <c r="C40" s="662" t="s">
        <v>610</v>
      </c>
      <c r="D40" s="593">
        <v>24506</v>
      </c>
      <c r="E40" s="591">
        <v>15000</v>
      </c>
      <c r="F40" s="573">
        <v>5000</v>
      </c>
      <c r="G40" s="573">
        <v>5000</v>
      </c>
      <c r="H40" s="573">
        <v>5000</v>
      </c>
      <c r="I40" s="589"/>
    </row>
    <row r="41" spans="1:9" ht="16.5" x14ac:dyDescent="0.3">
      <c r="A41" s="592" t="s">
        <v>609</v>
      </c>
      <c r="B41" s="662" t="s">
        <v>588</v>
      </c>
      <c r="C41" s="662" t="s">
        <v>608</v>
      </c>
      <c r="D41" s="593">
        <v>19553</v>
      </c>
      <c r="E41" s="591">
        <v>18000</v>
      </c>
      <c r="F41" s="573">
        <v>18500</v>
      </c>
      <c r="G41" s="573">
        <v>18500</v>
      </c>
      <c r="H41" s="573">
        <v>18500</v>
      </c>
      <c r="I41" s="589"/>
    </row>
    <row r="42" spans="1:9" ht="16.5" x14ac:dyDescent="0.3">
      <c r="A42" s="592" t="s">
        <v>607</v>
      </c>
      <c r="B42" s="662" t="s">
        <v>588</v>
      </c>
      <c r="C42" s="662" t="s">
        <v>605</v>
      </c>
      <c r="D42" s="593">
        <v>5873</v>
      </c>
      <c r="E42" s="591">
        <v>6632</v>
      </c>
      <c r="F42" s="573">
        <f>E42</f>
        <v>6632</v>
      </c>
      <c r="G42" s="573">
        <f>E42</f>
        <v>6632</v>
      </c>
      <c r="H42" s="573">
        <f>F42</f>
        <v>6632</v>
      </c>
      <c r="I42" s="589"/>
    </row>
    <row r="43" spans="1:9" ht="16.5" x14ac:dyDescent="0.3">
      <c r="A43" s="592" t="s">
        <v>606</v>
      </c>
      <c r="B43" s="662" t="s">
        <v>588</v>
      </c>
      <c r="C43" s="662" t="s">
        <v>605</v>
      </c>
      <c r="D43" s="593">
        <f>9610.05-D42</f>
        <v>3737.0499999999993</v>
      </c>
      <c r="E43" s="591">
        <v>0</v>
      </c>
      <c r="F43" s="573">
        <v>0</v>
      </c>
      <c r="G43" s="573">
        <v>0</v>
      </c>
      <c r="H43" s="573">
        <v>0</v>
      </c>
      <c r="I43" s="589"/>
    </row>
    <row r="44" spans="1:9" ht="16.5" x14ac:dyDescent="0.3">
      <c r="A44" s="592" t="s">
        <v>604</v>
      </c>
      <c r="B44" s="662" t="s">
        <v>603</v>
      </c>
      <c r="C44" s="662" t="s">
        <v>473</v>
      </c>
      <c r="D44" s="593">
        <v>15063.14</v>
      </c>
      <c r="E44" s="591">
        <v>6500</v>
      </c>
      <c r="F44" s="573">
        <v>6500</v>
      </c>
      <c r="G44" s="573">
        <v>6500</v>
      </c>
      <c r="H44" s="573">
        <v>6500</v>
      </c>
      <c r="I44" s="589"/>
    </row>
    <row r="45" spans="1:9" ht="16.5" x14ac:dyDescent="0.3">
      <c r="A45" s="592" t="s">
        <v>602</v>
      </c>
      <c r="B45" s="662" t="s">
        <v>588</v>
      </c>
      <c r="C45" s="662" t="s">
        <v>473</v>
      </c>
      <c r="D45" s="593">
        <v>36698.120000000003</v>
      </c>
      <c r="E45" s="591"/>
      <c r="F45" s="573">
        <f>E45</f>
        <v>0</v>
      </c>
      <c r="G45" s="573">
        <f>E45</f>
        <v>0</v>
      </c>
      <c r="H45" s="573">
        <f>F45</f>
        <v>0</v>
      </c>
      <c r="I45" s="589"/>
    </row>
    <row r="46" spans="1:9" ht="16.5" x14ac:dyDescent="0.3">
      <c r="A46" s="592" t="s">
        <v>601</v>
      </c>
      <c r="B46" s="662" t="s">
        <v>588</v>
      </c>
      <c r="C46" s="662" t="s">
        <v>473</v>
      </c>
      <c r="D46" s="593">
        <v>1150.45</v>
      </c>
      <c r="E46" s="591">
        <v>0</v>
      </c>
      <c r="F46" s="573">
        <v>0</v>
      </c>
      <c r="G46" s="573">
        <v>0</v>
      </c>
      <c r="H46" s="573">
        <v>0</v>
      </c>
      <c r="I46" s="589"/>
    </row>
    <row r="47" spans="1:9" ht="16.5" x14ac:dyDescent="0.3">
      <c r="A47" s="592" t="s">
        <v>600</v>
      </c>
      <c r="B47" s="662" t="s">
        <v>588</v>
      </c>
      <c r="C47" s="662" t="s">
        <v>473</v>
      </c>
      <c r="D47" s="593">
        <v>9696.02</v>
      </c>
      <c r="E47" s="591">
        <v>0</v>
      </c>
      <c r="F47" s="573">
        <v>0</v>
      </c>
      <c r="G47" s="573">
        <v>0</v>
      </c>
      <c r="H47" s="573">
        <v>0</v>
      </c>
      <c r="I47" s="589"/>
    </row>
    <row r="48" spans="1:9" ht="16.5" x14ac:dyDescent="0.3">
      <c r="A48" s="592" t="s">
        <v>599</v>
      </c>
      <c r="B48" s="662" t="s">
        <v>588</v>
      </c>
      <c r="C48" s="662" t="s">
        <v>473</v>
      </c>
      <c r="D48" s="593">
        <v>29109.93</v>
      </c>
      <c r="E48" s="591">
        <f>882996-807000-E53</f>
        <v>42319.77</v>
      </c>
      <c r="F48" s="573">
        <v>0</v>
      </c>
      <c r="G48" s="573">
        <v>0</v>
      </c>
      <c r="H48" s="573">
        <v>0</v>
      </c>
      <c r="I48" s="589"/>
    </row>
    <row r="49" spans="1:9" ht="16.5" x14ac:dyDescent="0.3">
      <c r="A49" s="592" t="s">
        <v>598</v>
      </c>
      <c r="B49" s="662" t="s">
        <v>588</v>
      </c>
      <c r="C49" s="662" t="s">
        <v>473</v>
      </c>
      <c r="D49" s="593">
        <v>0</v>
      </c>
      <c r="E49" s="591">
        <f>+'RS 00XX &amp; 1400'!D15</f>
        <v>807000</v>
      </c>
      <c r="F49" s="573">
        <v>0</v>
      </c>
      <c r="G49" s="573">
        <v>0</v>
      </c>
      <c r="H49" s="573">
        <v>0</v>
      </c>
      <c r="I49" s="589"/>
    </row>
    <row r="50" spans="1:9" ht="16.5" x14ac:dyDescent="0.3">
      <c r="A50" s="592" t="s">
        <v>597</v>
      </c>
      <c r="B50" s="662" t="s">
        <v>588</v>
      </c>
      <c r="C50" s="662" t="s">
        <v>473</v>
      </c>
      <c r="D50" s="593">
        <v>0</v>
      </c>
      <c r="E50" s="591">
        <v>20204</v>
      </c>
      <c r="F50" s="573">
        <v>0</v>
      </c>
      <c r="G50" s="573">
        <v>0</v>
      </c>
      <c r="H50" s="573">
        <v>0</v>
      </c>
      <c r="I50" s="589"/>
    </row>
    <row r="51" spans="1:9" ht="16.5" x14ac:dyDescent="0.3">
      <c r="A51" s="592" t="s">
        <v>596</v>
      </c>
      <c r="B51" s="662" t="s">
        <v>588</v>
      </c>
      <c r="C51" s="662" t="s">
        <v>473</v>
      </c>
      <c r="D51" s="593">
        <v>13452.82</v>
      </c>
      <c r="E51" s="591">
        <v>0</v>
      </c>
      <c r="F51" s="573">
        <v>0</v>
      </c>
      <c r="G51" s="573">
        <v>0</v>
      </c>
      <c r="H51" s="573">
        <v>0</v>
      </c>
      <c r="I51" s="589"/>
    </row>
    <row r="52" spans="1:9" ht="16.5" x14ac:dyDescent="0.3">
      <c r="A52" s="592" t="s">
        <v>595</v>
      </c>
      <c r="B52" s="662" t="s">
        <v>588</v>
      </c>
      <c r="C52" s="662" t="s">
        <v>473</v>
      </c>
      <c r="D52" s="593">
        <v>10000</v>
      </c>
      <c r="E52" s="591">
        <v>10000</v>
      </c>
      <c r="F52" s="573">
        <v>10000</v>
      </c>
      <c r="G52" s="573">
        <v>10000</v>
      </c>
      <c r="H52" s="573">
        <v>10000</v>
      </c>
      <c r="I52" s="589"/>
    </row>
    <row r="53" spans="1:9" ht="16.5" x14ac:dyDescent="0.3">
      <c r="A53" s="592" t="s">
        <v>594</v>
      </c>
      <c r="B53" s="662" t="s">
        <v>588</v>
      </c>
      <c r="C53" s="662" t="s">
        <v>473</v>
      </c>
      <c r="D53" s="593">
        <v>78018.67</v>
      </c>
      <c r="E53" s="591">
        <v>33676.230000000003</v>
      </c>
      <c r="F53" s="573">
        <f>+E53</f>
        <v>33676.230000000003</v>
      </c>
      <c r="G53" s="573">
        <f>+E53</f>
        <v>33676.230000000003</v>
      </c>
      <c r="H53" s="573">
        <f>+F53</f>
        <v>33676.230000000003</v>
      </c>
      <c r="I53" s="589"/>
    </row>
    <row r="54" spans="1:9" ht="16.5" x14ac:dyDescent="0.3">
      <c r="A54" s="615" t="str">
        <f>+'RS 00XX &amp; 1400'!C16</f>
        <v>MID Energy Audit and Projects Refund</v>
      </c>
      <c r="B54" s="662" t="s">
        <v>588</v>
      </c>
      <c r="C54" s="662" t="s">
        <v>473</v>
      </c>
      <c r="D54" s="575">
        <v>0</v>
      </c>
      <c r="E54" s="591">
        <f>+'RS 00XX &amp; 1400'!D16</f>
        <v>69320</v>
      </c>
      <c r="F54" s="573"/>
      <c r="G54" s="573"/>
      <c r="H54" s="573"/>
      <c r="I54" s="589"/>
    </row>
    <row r="55" spans="1:9" ht="16.5" x14ac:dyDescent="0.3">
      <c r="A55" s="615" t="str">
        <f>+'RS 00XX &amp; 1400'!C18</f>
        <v>E-Rate Refunds and Reimbursements</v>
      </c>
      <c r="B55" s="662" t="s">
        <v>588</v>
      </c>
      <c r="C55" s="662" t="s">
        <v>473</v>
      </c>
      <c r="D55" s="575">
        <v>0</v>
      </c>
      <c r="E55" s="591">
        <f>+'RS 00XX &amp; 1400'!D18</f>
        <v>180409.75</v>
      </c>
      <c r="F55" s="573"/>
      <c r="G55" s="573"/>
      <c r="H55" s="573"/>
      <c r="I55" s="589"/>
    </row>
    <row r="56" spans="1:9" ht="16.5" x14ac:dyDescent="0.3">
      <c r="A56" s="592" t="s">
        <v>593</v>
      </c>
      <c r="B56" s="663" t="s">
        <v>592</v>
      </c>
      <c r="C56" s="663" t="s">
        <v>473</v>
      </c>
      <c r="D56" s="575">
        <v>117952.39</v>
      </c>
      <c r="E56" s="591">
        <v>0</v>
      </c>
      <c r="F56" s="590">
        <v>0</v>
      </c>
      <c r="G56" s="590">
        <v>0</v>
      </c>
      <c r="H56" s="590">
        <v>0</v>
      </c>
      <c r="I56" s="589"/>
    </row>
    <row r="57" spans="1:9" ht="16.5" x14ac:dyDescent="0.3">
      <c r="A57" s="597" t="s">
        <v>591</v>
      </c>
      <c r="B57" s="661"/>
      <c r="C57" s="661"/>
      <c r="D57" s="596"/>
      <c r="E57" s="595"/>
      <c r="F57" s="594"/>
      <c r="G57" s="594"/>
      <c r="H57" s="594"/>
      <c r="I57" s="594"/>
    </row>
    <row r="58" spans="1:9" ht="16.5" x14ac:dyDescent="0.3">
      <c r="A58" s="592" t="s">
        <v>590</v>
      </c>
      <c r="B58" s="662" t="s">
        <v>588</v>
      </c>
      <c r="C58" s="662" t="s">
        <v>587</v>
      </c>
      <c r="D58" s="593">
        <v>0</v>
      </c>
      <c r="E58" s="591">
        <v>-31107</v>
      </c>
      <c r="F58" s="573">
        <v>0</v>
      </c>
      <c r="G58" s="573">
        <v>0</v>
      </c>
      <c r="H58" s="573">
        <v>0</v>
      </c>
      <c r="I58" s="589"/>
    </row>
    <row r="59" spans="1:9" ht="16.5" x14ac:dyDescent="0.3">
      <c r="A59" s="592" t="s">
        <v>589</v>
      </c>
      <c r="B59" s="663" t="s">
        <v>588</v>
      </c>
      <c r="C59" s="663" t="s">
        <v>587</v>
      </c>
      <c r="D59" s="575">
        <v>0</v>
      </c>
      <c r="E59" s="591">
        <v>0</v>
      </c>
      <c r="F59" s="590">
        <v>0</v>
      </c>
      <c r="G59" s="590">
        <v>0</v>
      </c>
      <c r="H59" s="590">
        <v>0</v>
      </c>
      <c r="I59" s="589"/>
    </row>
    <row r="60" spans="1:9" x14ac:dyDescent="0.2">
      <c r="E60" s="588"/>
    </row>
    <row r="61" spans="1:9" ht="16.5" x14ac:dyDescent="0.3">
      <c r="A61" s="579" t="s">
        <v>586</v>
      </c>
      <c r="B61" s="665" t="s">
        <v>585</v>
      </c>
      <c r="C61" s="666"/>
      <c r="D61" s="578"/>
      <c r="E61" s="577"/>
      <c r="F61" s="576"/>
      <c r="G61" s="576"/>
      <c r="H61" s="576"/>
      <c r="I61" s="576"/>
    </row>
    <row r="62" spans="1:9" ht="16.5" x14ac:dyDescent="0.3">
      <c r="A62" s="572" t="s">
        <v>414</v>
      </c>
      <c r="B62" s="667" t="s">
        <v>583</v>
      </c>
      <c r="D62" s="575">
        <v>61325045.425441563</v>
      </c>
      <c r="E62" s="574">
        <f>64105744+E58</f>
        <v>64074637</v>
      </c>
      <c r="F62" s="583">
        <v>64408450</v>
      </c>
      <c r="G62" s="583">
        <v>66039942</v>
      </c>
      <c r="H62" s="583">
        <v>68436628</v>
      </c>
    </row>
    <row r="63" spans="1:9" ht="16.5" x14ac:dyDescent="0.3">
      <c r="A63" s="572" t="s">
        <v>360</v>
      </c>
      <c r="B63" s="667" t="s">
        <v>582</v>
      </c>
      <c r="D63" s="575">
        <f>+SUM(D3)</f>
        <v>149454.15</v>
      </c>
      <c r="E63" s="574">
        <f>+SUM(E3)</f>
        <v>79154</v>
      </c>
      <c r="F63" s="583">
        <f>+SUM(F3)</f>
        <v>0</v>
      </c>
      <c r="G63" s="583">
        <f>+SUM(G3)</f>
        <v>0</v>
      </c>
      <c r="H63" s="583">
        <f>+SUM(H3)</f>
        <v>0</v>
      </c>
    </row>
    <row r="64" spans="1:9" ht="16.5" x14ac:dyDescent="0.3">
      <c r="A64" s="572" t="s">
        <v>581</v>
      </c>
      <c r="B64" s="667" t="s">
        <v>580</v>
      </c>
      <c r="D64" s="575">
        <f>+SUM(D18:D24)</f>
        <v>5708695.7599999998</v>
      </c>
      <c r="E64" s="574">
        <f>+SUM(E18:E24)</f>
        <v>3031886.7800000003</v>
      </c>
      <c r="F64" s="583">
        <f>+SUM(F18:F24)</f>
        <v>1368155.78</v>
      </c>
      <c r="G64" s="583">
        <f>+SUM(G18:G24)</f>
        <v>1390757.78</v>
      </c>
      <c r="H64" s="583">
        <f>+SUM(H18:H24)</f>
        <v>1417202.78</v>
      </c>
    </row>
    <row r="65" spans="1:9" ht="16.5" x14ac:dyDescent="0.3">
      <c r="A65" s="572" t="s">
        <v>157</v>
      </c>
      <c r="B65" s="667" t="s">
        <v>579</v>
      </c>
      <c r="D65" s="571">
        <f>+SUM(D38:D53)</f>
        <v>410037.2</v>
      </c>
      <c r="E65" s="570">
        <f>+SUM(E38:E56)</f>
        <v>1347958.75</v>
      </c>
      <c r="F65" s="569">
        <f>+SUM(F38:F56)</f>
        <v>219205.23</v>
      </c>
      <c r="G65" s="569">
        <f>+SUM(G38:G53)</f>
        <v>222542.33740000002</v>
      </c>
      <c r="H65" s="569">
        <f>+SUM(H38:H53)</f>
        <v>222542.33740000002</v>
      </c>
    </row>
    <row r="66" spans="1:9" s="586" customFormat="1" ht="16.5" x14ac:dyDescent="0.3">
      <c r="A66" s="587"/>
      <c r="B66" s="668"/>
      <c r="C66" s="668"/>
      <c r="D66" s="568">
        <f>SUM(D62:D65)</f>
        <v>67593232.535441563</v>
      </c>
      <c r="E66" s="582">
        <f>SUM(E62:E65)</f>
        <v>68533636.530000001</v>
      </c>
      <c r="F66" s="568">
        <f>SUM(F62:F65)</f>
        <v>65995811.009999998</v>
      </c>
      <c r="G66" s="568">
        <f>SUM(G62:G65)</f>
        <v>67653242.117400005</v>
      </c>
      <c r="H66" s="568">
        <f>SUM(H62:H65)</f>
        <v>70076373.117400005</v>
      </c>
    </row>
    <row r="67" spans="1:9" ht="16.5" x14ac:dyDescent="0.3">
      <c r="A67" s="572"/>
      <c r="D67" s="584">
        <v>0</v>
      </c>
      <c r="E67" s="585">
        <v>502655.44044727087</v>
      </c>
      <c r="F67" s="584">
        <v>-1605513.444186233</v>
      </c>
      <c r="G67" s="584">
        <v>55410.343213766813</v>
      </c>
      <c r="H67" s="584">
        <v>2200315.1115206927</v>
      </c>
    </row>
    <row r="68" spans="1:9" ht="16.5" x14ac:dyDescent="0.3">
      <c r="A68" s="579" t="s">
        <v>383</v>
      </c>
      <c r="B68" s="666"/>
      <c r="C68" s="666"/>
      <c r="D68" s="578"/>
      <c r="E68" s="577"/>
      <c r="F68" s="576"/>
      <c r="G68" s="576"/>
      <c r="H68" s="576"/>
      <c r="I68" s="576"/>
    </row>
    <row r="69" spans="1:9" ht="16.5" x14ac:dyDescent="0.3">
      <c r="A69" s="572" t="s">
        <v>414</v>
      </c>
      <c r="B69" s="667" t="s">
        <v>583</v>
      </c>
      <c r="D69" s="575">
        <f>+D33</f>
        <v>1004376</v>
      </c>
      <c r="E69" s="574">
        <f>+E33</f>
        <v>1041447</v>
      </c>
      <c r="F69" s="583">
        <f>+F33</f>
        <v>1041447</v>
      </c>
      <c r="G69" s="583">
        <f>+G33</f>
        <v>1041447</v>
      </c>
      <c r="H69" s="583">
        <f>+H33</f>
        <v>1041447</v>
      </c>
    </row>
    <row r="70" spans="1:9" ht="16.5" x14ac:dyDescent="0.3">
      <c r="A70" s="572" t="s">
        <v>360</v>
      </c>
      <c r="B70" s="667" t="s">
        <v>582</v>
      </c>
      <c r="D70" s="575">
        <f>+SUM(D4:D16)</f>
        <v>4192188.23</v>
      </c>
      <c r="E70" s="574">
        <f>+SUM(E4:E16)</f>
        <v>4642256.91</v>
      </c>
      <c r="F70" s="583">
        <f>+SUM(F4:F16)</f>
        <v>4635826</v>
      </c>
      <c r="G70" s="583">
        <f>+SUM(G4:G16)</f>
        <v>4084231</v>
      </c>
      <c r="H70" s="583">
        <f>+SUM(H4:H16)</f>
        <v>4112711</v>
      </c>
    </row>
    <row r="71" spans="1:9" ht="16.5" x14ac:dyDescent="0.3">
      <c r="A71" s="572" t="s">
        <v>581</v>
      </c>
      <c r="B71" s="667" t="s">
        <v>580</v>
      </c>
      <c r="D71" s="575">
        <f>+SUM(D25:D29,D34)</f>
        <v>1624422.83</v>
      </c>
      <c r="E71" s="574">
        <f>+SUM(E25:E29,E34)</f>
        <v>1047782</v>
      </c>
      <c r="F71" s="583">
        <f>+SUM(F25:F29,F34)</f>
        <v>923762</v>
      </c>
      <c r="G71" s="583">
        <f>+SUM(G25:G29,G34)</f>
        <v>574535</v>
      </c>
      <c r="H71" s="583">
        <f>+SUM(H25:H29,H34)</f>
        <v>582918</v>
      </c>
    </row>
    <row r="72" spans="1:9" ht="16.5" x14ac:dyDescent="0.3">
      <c r="A72" s="572" t="s">
        <v>157</v>
      </c>
      <c r="B72" s="667" t="s">
        <v>579</v>
      </c>
      <c r="D72" s="571">
        <f>+SUM(D35:D36,D56,D31)</f>
        <v>3612915.58</v>
      </c>
      <c r="E72" s="570">
        <f>+SUM(E35:E36,E56,E31)</f>
        <v>3510855</v>
      </c>
      <c r="F72" s="569">
        <f>+SUM(F35:F36,F56,F31)</f>
        <v>3487458</v>
      </c>
      <c r="G72" s="569">
        <f>+SUM(G35:G36,G56,G31)</f>
        <v>3562264</v>
      </c>
      <c r="H72" s="569">
        <f>+SUM(H35:H36,H56,H31)</f>
        <v>3645787</v>
      </c>
    </row>
    <row r="73" spans="1:9" ht="16.5" x14ac:dyDescent="0.3">
      <c r="A73" s="572"/>
      <c r="D73" s="568">
        <f>SUM(D69:D72)</f>
        <v>10433902.640000001</v>
      </c>
      <c r="E73" s="582">
        <f>SUM(E69:E72)</f>
        <v>10242340.91</v>
      </c>
      <c r="F73" s="568">
        <f>SUM(F69:F72)</f>
        <v>10088493</v>
      </c>
      <c r="G73" s="568">
        <f>SUM(G69:G72)</f>
        <v>9262477</v>
      </c>
      <c r="H73" s="568">
        <f>SUM(H69:H72)</f>
        <v>9382863</v>
      </c>
    </row>
    <row r="74" spans="1:9" ht="16.5" x14ac:dyDescent="0.3">
      <c r="A74" s="572"/>
      <c r="D74" s="580">
        <v>0</v>
      </c>
      <c r="E74" s="581">
        <v>-114120.74000000022</v>
      </c>
      <c r="F74" s="580">
        <v>811108.50700000115</v>
      </c>
      <c r="G74" s="580">
        <v>-43040.492999998853</v>
      </c>
      <c r="H74" s="580">
        <v>415145.17047329992</v>
      </c>
    </row>
    <row r="75" spans="1:9" ht="16.5" x14ac:dyDescent="0.3">
      <c r="A75" s="579" t="s">
        <v>584</v>
      </c>
      <c r="B75" s="666"/>
      <c r="C75" s="666"/>
      <c r="D75" s="578"/>
      <c r="E75" s="577"/>
      <c r="F75" s="576"/>
      <c r="G75" s="576"/>
      <c r="H75" s="576"/>
      <c r="I75" s="576"/>
    </row>
    <row r="76" spans="1:9" ht="16.5" x14ac:dyDescent="0.3">
      <c r="A76" s="572" t="s">
        <v>414</v>
      </c>
      <c r="B76" s="667" t="s">
        <v>583</v>
      </c>
      <c r="D76" s="575">
        <f t="shared" ref="D76:H79" si="1">+D62+D69</f>
        <v>62329421.425441563</v>
      </c>
      <c r="E76" s="574">
        <f t="shared" si="1"/>
        <v>65116084</v>
      </c>
      <c r="F76" s="573">
        <f t="shared" si="1"/>
        <v>65449897</v>
      </c>
      <c r="G76" s="573">
        <f t="shared" si="1"/>
        <v>67081389</v>
      </c>
      <c r="H76" s="573">
        <f t="shared" si="1"/>
        <v>69478075</v>
      </c>
    </row>
    <row r="77" spans="1:9" ht="16.5" x14ac:dyDescent="0.3">
      <c r="A77" s="572" t="s">
        <v>360</v>
      </c>
      <c r="B77" s="667" t="s">
        <v>582</v>
      </c>
      <c r="D77" s="575">
        <f t="shared" si="1"/>
        <v>4341642.38</v>
      </c>
      <c r="E77" s="574">
        <f t="shared" si="1"/>
        <v>4721410.91</v>
      </c>
      <c r="F77" s="573">
        <f t="shared" si="1"/>
        <v>4635826</v>
      </c>
      <c r="G77" s="573">
        <f t="shared" si="1"/>
        <v>4084231</v>
      </c>
      <c r="H77" s="573">
        <f t="shared" si="1"/>
        <v>4112711</v>
      </c>
    </row>
    <row r="78" spans="1:9" ht="16.5" x14ac:dyDescent="0.3">
      <c r="A78" s="572" t="s">
        <v>581</v>
      </c>
      <c r="B78" s="667" t="s">
        <v>580</v>
      </c>
      <c r="D78" s="575">
        <f t="shared" si="1"/>
        <v>7333118.5899999999</v>
      </c>
      <c r="E78" s="574">
        <f t="shared" si="1"/>
        <v>4079668.7800000003</v>
      </c>
      <c r="F78" s="573">
        <f t="shared" si="1"/>
        <v>2291917.7800000003</v>
      </c>
      <c r="G78" s="573">
        <f t="shared" si="1"/>
        <v>1965292.78</v>
      </c>
      <c r="H78" s="573">
        <f t="shared" si="1"/>
        <v>2000120.78</v>
      </c>
    </row>
    <row r="79" spans="1:9" ht="16.5" x14ac:dyDescent="0.3">
      <c r="A79" s="572" t="s">
        <v>157</v>
      </c>
      <c r="B79" s="667" t="s">
        <v>579</v>
      </c>
      <c r="D79" s="571">
        <f t="shared" si="1"/>
        <v>4022952.7800000003</v>
      </c>
      <c r="E79" s="570">
        <f t="shared" si="1"/>
        <v>4858813.75</v>
      </c>
      <c r="F79" s="569">
        <f t="shared" si="1"/>
        <v>3706663.23</v>
      </c>
      <c r="G79" s="569">
        <f t="shared" si="1"/>
        <v>3784806.3374000001</v>
      </c>
      <c r="H79" s="569">
        <f t="shared" si="1"/>
        <v>3868329.3374000001</v>
      </c>
    </row>
    <row r="80" spans="1:9" ht="13.5" thickBot="1" x14ac:dyDescent="0.25">
      <c r="D80" s="568">
        <f>SUM(D76:D79)</f>
        <v>78027135.175441563</v>
      </c>
      <c r="E80" s="567">
        <f>SUM(E76:E79)</f>
        <v>78775977.439999998</v>
      </c>
      <c r="F80" s="566">
        <f>SUM(F76:F79)</f>
        <v>76084304.010000005</v>
      </c>
      <c r="G80" s="566">
        <f>SUM(G76:G79)</f>
        <v>76915719.117400005</v>
      </c>
      <c r="H80" s="566">
        <f>SUM(H76:H79)</f>
        <v>79459236.117400005</v>
      </c>
    </row>
    <row r="81" spans="3:8" ht="13.5" thickTop="1" x14ac:dyDescent="0.2">
      <c r="E81" s="565"/>
    </row>
    <row r="82" spans="3:8" x14ac:dyDescent="0.2">
      <c r="C82" s="669" t="s">
        <v>282</v>
      </c>
      <c r="D82" s="562">
        <v>617840.06000000006</v>
      </c>
      <c r="E82" s="562">
        <v>940972.3</v>
      </c>
      <c r="F82" s="562">
        <v>0</v>
      </c>
      <c r="G82" s="562">
        <v>0</v>
      </c>
      <c r="H82" s="562">
        <v>0</v>
      </c>
    </row>
    <row r="83" spans="3:8" ht="6" customHeight="1" x14ac:dyDescent="0.2"/>
    <row r="84" spans="3:8" ht="13.5" thickBot="1" x14ac:dyDescent="0.25">
      <c r="C84" s="669" t="s">
        <v>578</v>
      </c>
      <c r="D84" s="564">
        <f>+D80+D82</f>
        <v>78644975.235441566</v>
      </c>
      <c r="E84" s="564">
        <f>+E80+E82</f>
        <v>79716949.739999995</v>
      </c>
      <c r="F84" s="564">
        <f>+F80+F82</f>
        <v>76084304.010000005</v>
      </c>
      <c r="G84" s="564">
        <f>+G80+G82</f>
        <v>76915719.117400005</v>
      </c>
      <c r="H84" s="564">
        <f>+H80+H82</f>
        <v>79459236.117400005</v>
      </c>
    </row>
    <row r="85" spans="3:8" ht="13.5" thickTop="1" x14ac:dyDescent="0.2"/>
    <row r="86" spans="3:8" x14ac:dyDescent="0.2">
      <c r="C86" s="670" t="s">
        <v>577</v>
      </c>
      <c r="D86" s="562">
        <v>78644975.935441539</v>
      </c>
      <c r="E86" s="562">
        <v>79328415.039552733</v>
      </c>
      <c r="F86" s="562">
        <v>76874916.227186233</v>
      </c>
      <c r="G86" s="562">
        <v>76874916.227186233</v>
      </c>
      <c r="H86" s="562">
        <v>76826448.390106007</v>
      </c>
    </row>
    <row r="87" spans="3:8" x14ac:dyDescent="0.2">
      <c r="C87" s="670" t="s">
        <v>576</v>
      </c>
      <c r="D87" s="563">
        <f>+D84-D86</f>
        <v>-0.69999997317790985</v>
      </c>
      <c r="E87" s="563">
        <f>+E84-E86</f>
        <v>388534.70044726133</v>
      </c>
      <c r="F87" s="563">
        <f>+F84-F86</f>
        <v>-790612.21718622744</v>
      </c>
      <c r="G87" s="563">
        <f>+G84-G86</f>
        <v>40802.890213772655</v>
      </c>
      <c r="H87" s="563">
        <f>+H84-H86</f>
        <v>2632787.727293998</v>
      </c>
    </row>
  </sheetData>
  <hyperlinks>
    <hyperlink ref="I4" r:id="rId1"/>
    <hyperlink ref="I9" r:id="rId2"/>
    <hyperlink ref="I12" r:id="rId3"/>
    <hyperlink ref="I14" r:id="rId4"/>
    <hyperlink ref="I18" r:id="rId5"/>
  </hyperlinks>
  <pageMargins left="0.25" right="0.25" top="0.5" bottom="0.2" header="0.5" footer="0.17"/>
  <pageSetup orientation="portrait" r:id="rId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P56"/>
  <sheetViews>
    <sheetView showGridLines="0" zoomScaleNormal="100" workbookViewId="0"/>
  </sheetViews>
  <sheetFormatPr defaultRowHeight="15" x14ac:dyDescent="0.25"/>
  <cols>
    <col min="1" max="1" width="3.5703125" style="691" customWidth="1"/>
    <col min="2" max="2" width="23.7109375" style="509" bestFit="1" customWidth="1"/>
    <col min="3" max="3" width="1.42578125" style="508" bestFit="1" customWidth="1"/>
    <col min="4" max="7" width="15.42578125" style="510" customWidth="1"/>
    <col min="8" max="11" width="15.42578125" style="510" hidden="1" customWidth="1"/>
    <col min="12" max="13" width="5.7109375" style="510" hidden="1" customWidth="1"/>
    <col min="14" max="14" width="15.28515625" style="509" hidden="1" customWidth="1"/>
    <col min="15" max="15" width="9.28515625" style="510" hidden="1" customWidth="1"/>
    <col min="16" max="16" width="14.140625" style="510" hidden="1" customWidth="1"/>
    <col min="17" max="17" width="11.42578125" style="510" hidden="1" customWidth="1"/>
    <col min="18" max="18" width="14.140625" style="510" hidden="1" customWidth="1"/>
    <col min="19" max="19" width="11.42578125" style="510" hidden="1" customWidth="1"/>
    <col min="20" max="20" width="14.140625" style="510" hidden="1" customWidth="1"/>
    <col min="21" max="21" width="11.42578125" style="510" hidden="1" customWidth="1"/>
    <col min="22" max="22" width="14.140625" style="510" hidden="1" customWidth="1"/>
    <col min="23" max="23" width="11.42578125" style="510" hidden="1" customWidth="1"/>
    <col min="24" max="24" width="14.140625" style="510" hidden="1" customWidth="1"/>
    <col min="25" max="25" width="11.42578125" style="510" hidden="1" customWidth="1"/>
    <col min="26" max="26" width="14.140625" style="510" hidden="1" customWidth="1"/>
    <col min="27" max="27" width="11.42578125" style="510" hidden="1" customWidth="1"/>
    <col min="28" max="28" width="14.140625" style="510" hidden="1" customWidth="1"/>
    <col min="29" max="29" width="11.42578125" style="510" hidden="1" customWidth="1"/>
    <col min="30" max="30" width="14.140625" style="510" hidden="1" customWidth="1"/>
    <col min="31" max="31" width="0" style="510" hidden="1" customWidth="1"/>
    <col min="32" max="32" width="0" style="695" hidden="1" customWidth="1"/>
    <col min="33" max="36" width="13.28515625" style="703" hidden="1" customWidth="1"/>
    <col min="37" max="37" width="10.5703125" style="703" bestFit="1" customWidth="1"/>
    <col min="38" max="38" width="11.5703125" style="703" bestFit="1" customWidth="1"/>
    <col min="39" max="39" width="14.28515625" style="703" bestFit="1" customWidth="1"/>
    <col min="40" max="40" width="5.140625" style="703" bestFit="1" customWidth="1"/>
    <col min="41" max="41" width="9.140625" style="703"/>
    <col min="42" max="42" width="9.140625" style="699"/>
    <col min="43" max="16384" width="9.140625" style="695"/>
  </cols>
  <sheetData>
    <row r="1" spans="2:36" x14ac:dyDescent="0.25">
      <c r="B1" s="695"/>
    </row>
    <row r="2" spans="2:36" x14ac:dyDescent="0.25">
      <c r="B2" s="2149" t="s">
        <v>719</v>
      </c>
      <c r="C2" s="2149"/>
      <c r="D2" s="2149"/>
      <c r="E2" s="2149"/>
      <c r="F2" s="2149"/>
      <c r="G2" s="2149"/>
    </row>
    <row r="3" spans="2:36" ht="15.75" thickBot="1" x14ac:dyDescent="0.3"/>
    <row r="4" spans="2:36" x14ac:dyDescent="0.25">
      <c r="B4" s="671" t="s">
        <v>558</v>
      </c>
      <c r="C4" s="672"/>
      <c r="D4" s="673"/>
      <c r="E4" s="673"/>
      <c r="F4" s="673"/>
      <c r="G4" s="674"/>
      <c r="H4" s="674"/>
      <c r="I4" s="500"/>
      <c r="J4" s="500"/>
      <c r="K4" s="501"/>
      <c r="L4" s="502"/>
      <c r="M4" s="502"/>
      <c r="N4" s="503" t="str">
        <f>B4</f>
        <v>Certificated</v>
      </c>
      <c r="O4" s="502"/>
      <c r="P4" s="502"/>
      <c r="Q4" s="502"/>
      <c r="R4" s="502"/>
      <c r="S4" s="502"/>
      <c r="T4" s="502"/>
      <c r="U4" s="502"/>
      <c r="V4" s="502"/>
      <c r="W4" s="502"/>
      <c r="X4" s="502"/>
      <c r="Y4" s="502"/>
      <c r="Z4" s="502"/>
      <c r="AA4" s="502"/>
      <c r="AB4" s="502"/>
      <c r="AC4" s="502"/>
      <c r="AD4" s="502"/>
      <c r="AE4" s="502"/>
    </row>
    <row r="5" spans="2:36" x14ac:dyDescent="0.25">
      <c r="B5" s="706"/>
      <c r="C5" s="707"/>
      <c r="D5" s="708" t="s">
        <v>559</v>
      </c>
      <c r="E5" s="709">
        <v>0.02</v>
      </c>
      <c r="F5" s="707"/>
      <c r="G5" s="710"/>
      <c r="H5" s="676"/>
      <c r="I5" s="504"/>
      <c r="J5" s="504"/>
      <c r="K5" s="507"/>
      <c r="L5" s="508"/>
      <c r="M5" s="508"/>
      <c r="P5" s="508"/>
      <c r="R5" s="508"/>
      <c r="T5" s="508"/>
      <c r="V5" s="508"/>
      <c r="X5" s="508"/>
      <c r="Z5" s="508"/>
      <c r="AB5" s="508"/>
      <c r="AD5" s="508"/>
      <c r="AE5" s="508"/>
    </row>
    <row r="6" spans="2:36" x14ac:dyDescent="0.25">
      <c r="B6" s="677"/>
      <c r="C6" s="511"/>
      <c r="D6" s="511" t="s">
        <v>298</v>
      </c>
      <c r="E6" s="511" t="s">
        <v>299</v>
      </c>
      <c r="F6" s="511" t="s">
        <v>300</v>
      </c>
      <c r="G6" s="678" t="s">
        <v>301</v>
      </c>
      <c r="H6" s="678" t="s">
        <v>302</v>
      </c>
      <c r="I6" s="511" t="s">
        <v>303</v>
      </c>
      <c r="J6" s="511" t="s">
        <v>304</v>
      </c>
      <c r="K6" s="512" t="s">
        <v>560</v>
      </c>
      <c r="L6" s="513"/>
      <c r="M6" s="513"/>
      <c r="N6" s="513"/>
      <c r="O6" s="514"/>
      <c r="P6" s="513" t="s">
        <v>298</v>
      </c>
      <c r="Q6" s="514"/>
      <c r="R6" s="513" t="s">
        <v>299</v>
      </c>
      <c r="S6" s="514"/>
      <c r="T6" s="513" t="s">
        <v>300</v>
      </c>
      <c r="U6" s="514"/>
      <c r="V6" s="513" t="s">
        <v>301</v>
      </c>
      <c r="W6" s="514"/>
      <c r="X6" s="513" t="s">
        <v>302</v>
      </c>
      <c r="Y6" s="514"/>
      <c r="Z6" s="513" t="s">
        <v>303</v>
      </c>
      <c r="AA6" s="514"/>
      <c r="AB6" s="513" t="s">
        <v>304</v>
      </c>
      <c r="AC6" s="514"/>
      <c r="AD6" s="513" t="s">
        <v>560</v>
      </c>
      <c r="AE6" s="513"/>
    </row>
    <row r="7" spans="2:36" x14ac:dyDescent="0.25">
      <c r="B7" s="675" t="s">
        <v>561</v>
      </c>
      <c r="C7" s="505"/>
      <c r="D7" s="714">
        <f>+COMBINED!F26</f>
        <v>38450936.980000004</v>
      </c>
      <c r="E7" s="715">
        <f>+COMBINED!G26</f>
        <v>39043940</v>
      </c>
      <c r="F7" s="715">
        <f>+COMBINED!H26</f>
        <v>39109526</v>
      </c>
      <c r="G7" s="716">
        <f>+COMBINED!I26</f>
        <v>39689402</v>
      </c>
      <c r="H7" s="679">
        <f>G7*(1+$E$5)</f>
        <v>40483190.039999999</v>
      </c>
      <c r="I7" s="515">
        <f>H7*(1+$E$5)</f>
        <v>41292853.840800002</v>
      </c>
      <c r="J7" s="515">
        <f>I7*(1+$E$5)</f>
        <v>42118710.917616002</v>
      </c>
      <c r="K7" s="516">
        <f>J7*(1+$E$5)</f>
        <v>42961085.13596832</v>
      </c>
      <c r="N7" s="509" t="s">
        <v>561</v>
      </c>
      <c r="O7" s="517"/>
      <c r="P7" s="518">
        <f>D7</f>
        <v>38450936.980000004</v>
      </c>
      <c r="Q7" s="517"/>
      <c r="R7" s="519">
        <f>E7</f>
        <v>39043940</v>
      </c>
      <c r="T7" s="519">
        <f>F7</f>
        <v>39109526</v>
      </c>
      <c r="V7" s="519">
        <f>G7</f>
        <v>39689402</v>
      </c>
      <c r="X7" s="519">
        <f>H7</f>
        <v>40483190.039999999</v>
      </c>
      <c r="Z7" s="519">
        <f>I7</f>
        <v>41292853.840800002</v>
      </c>
      <c r="AB7" s="519">
        <f>J7</f>
        <v>42118710.917616002</v>
      </c>
      <c r="AC7" s="517"/>
      <c r="AD7" s="519">
        <f>K7</f>
        <v>42961085.13596832</v>
      </c>
    </row>
    <row r="8" spans="2:36" x14ac:dyDescent="0.25">
      <c r="B8" s="675" t="s">
        <v>562</v>
      </c>
      <c r="C8" s="505"/>
      <c r="D8" s="715"/>
      <c r="E8" s="715">
        <f>E7-D7</f>
        <v>593003.01999999583</v>
      </c>
      <c r="F8" s="715">
        <f>F7-E7</f>
        <v>65586</v>
      </c>
      <c r="G8" s="716">
        <f>G7-F7</f>
        <v>579876</v>
      </c>
      <c r="H8" s="679">
        <f t="shared" ref="H8:K8" si="0">H7-G7</f>
        <v>793788.03999999911</v>
      </c>
      <c r="I8" s="515">
        <f t="shared" si="0"/>
        <v>809663.80080000311</v>
      </c>
      <c r="J8" s="515">
        <f t="shared" si="0"/>
        <v>825857.07681600004</v>
      </c>
      <c r="K8" s="516">
        <f t="shared" si="0"/>
        <v>842374.21835231781</v>
      </c>
    </row>
    <row r="9" spans="2:36" x14ac:dyDescent="0.25">
      <c r="B9" s="675"/>
      <c r="C9" s="505"/>
      <c r="D9" s="715"/>
      <c r="E9" s="715"/>
      <c r="F9" s="715"/>
      <c r="G9" s="716"/>
      <c r="H9" s="679"/>
      <c r="I9" s="515"/>
      <c r="J9" s="515"/>
      <c r="K9" s="516"/>
      <c r="N9" s="509" t="s">
        <v>76</v>
      </c>
      <c r="O9" s="520">
        <f>D10</f>
        <v>0.1258</v>
      </c>
      <c r="P9" s="518">
        <f>O9*P7</f>
        <v>4837127.8720840001</v>
      </c>
      <c r="Q9" s="521">
        <f>E10</f>
        <v>0.14430000000000001</v>
      </c>
      <c r="R9" s="518">
        <f t="shared" ref="R9" si="1">Q9*R7</f>
        <v>5634040.5420000004</v>
      </c>
      <c r="S9" s="522">
        <f>F10</f>
        <v>0.1628</v>
      </c>
      <c r="T9" s="518">
        <f>S9*T7</f>
        <v>6367030.8328</v>
      </c>
      <c r="U9" s="522">
        <f>G10</f>
        <v>0.18129999999999999</v>
      </c>
      <c r="V9" s="518">
        <f>U9*V7</f>
        <v>7195688.5825999994</v>
      </c>
      <c r="W9" s="522">
        <f>H10</f>
        <v>0.191</v>
      </c>
      <c r="X9" s="518">
        <f>W9*X7</f>
        <v>7732289.2976399995</v>
      </c>
      <c r="Y9" s="522">
        <f>I10</f>
        <v>0.20950000000000002</v>
      </c>
      <c r="Z9" s="518">
        <f>Y9*Z7</f>
        <v>8650852.8796476014</v>
      </c>
      <c r="AA9" s="522">
        <f>J10</f>
        <v>0.22800000000000004</v>
      </c>
      <c r="AB9" s="518">
        <f>AA9*AB7</f>
        <v>9603066.0892164502</v>
      </c>
      <c r="AC9" s="522">
        <f>K10</f>
        <v>0.24650000000000005</v>
      </c>
      <c r="AD9" s="518">
        <f>AC9*AD7</f>
        <v>10589907.486016193</v>
      </c>
    </row>
    <row r="10" spans="2:36" x14ac:dyDescent="0.25">
      <c r="B10" s="675" t="s">
        <v>563</v>
      </c>
      <c r="C10" s="505"/>
      <c r="D10" s="523">
        <f>+'MYP Assumptions'!D52</f>
        <v>0.1258</v>
      </c>
      <c r="E10" s="523">
        <f>+'MYP Assumptions'!E52</f>
        <v>0.14430000000000001</v>
      </c>
      <c r="F10" s="523">
        <f>+'MYP Assumptions'!F52</f>
        <v>0.1628</v>
      </c>
      <c r="G10" s="680">
        <f>+'MYP Assumptions'!G52</f>
        <v>0.18129999999999999</v>
      </c>
      <c r="H10" s="680">
        <v>0.191</v>
      </c>
      <c r="I10" s="523">
        <f t="shared" ref="I10:K10" si="2">H10+1.85%</f>
        <v>0.20950000000000002</v>
      </c>
      <c r="J10" s="523">
        <f t="shared" si="2"/>
        <v>0.22800000000000004</v>
      </c>
      <c r="K10" s="524">
        <f t="shared" si="2"/>
        <v>0.24650000000000005</v>
      </c>
      <c r="N10" s="509" t="s">
        <v>78</v>
      </c>
      <c r="O10" s="525">
        <v>0</v>
      </c>
      <c r="P10" s="518">
        <f>O10*P7</f>
        <v>0</v>
      </c>
      <c r="Q10" s="525">
        <f>O10</f>
        <v>0</v>
      </c>
      <c r="R10" s="518">
        <f>Q10*R7</f>
        <v>0</v>
      </c>
      <c r="S10" s="525">
        <f>Q10</f>
        <v>0</v>
      </c>
      <c r="T10" s="518">
        <f>S10*T7</f>
        <v>0</v>
      </c>
      <c r="U10" s="525">
        <f>S10</f>
        <v>0</v>
      </c>
      <c r="V10" s="518">
        <f>U10*V7</f>
        <v>0</v>
      </c>
      <c r="W10" s="525">
        <f>U10</f>
        <v>0</v>
      </c>
      <c r="X10" s="518">
        <f>W10*X7</f>
        <v>0</v>
      </c>
      <c r="Y10" s="525">
        <f>W10</f>
        <v>0</v>
      </c>
      <c r="Z10" s="518">
        <f>Y10*Z7</f>
        <v>0</v>
      </c>
      <c r="AA10" s="525">
        <f>Y10</f>
        <v>0</v>
      </c>
      <c r="AB10" s="518">
        <f>AA10*AB7</f>
        <v>0</v>
      </c>
      <c r="AC10" s="525">
        <f>AA10</f>
        <v>0</v>
      </c>
      <c r="AD10" s="518">
        <f>AC10*AD7</f>
        <v>0</v>
      </c>
    </row>
    <row r="11" spans="2:36" x14ac:dyDescent="0.25">
      <c r="B11" s="675" t="s">
        <v>564</v>
      </c>
      <c r="C11" s="505" t="s">
        <v>141</v>
      </c>
      <c r="D11" s="715">
        <f>+COMBINED!F33</f>
        <v>4890976</v>
      </c>
      <c r="E11" s="715">
        <f>+COMBINED!G33</f>
        <v>5690664</v>
      </c>
      <c r="F11" s="715">
        <f>+COMBINED!H33</f>
        <v>6369303</v>
      </c>
      <c r="G11" s="716">
        <f>+COMBINED!I33</f>
        <v>7197938</v>
      </c>
      <c r="H11" s="679">
        <f t="shared" ref="H11:K11" si="3">H7*H10</f>
        <v>7732289.2976399995</v>
      </c>
      <c r="I11" s="515">
        <f t="shared" si="3"/>
        <v>8650852.8796476014</v>
      </c>
      <c r="J11" s="515">
        <f t="shared" si="3"/>
        <v>9603066.0892164502</v>
      </c>
      <c r="K11" s="516">
        <f t="shared" si="3"/>
        <v>10589907.486016193</v>
      </c>
      <c r="N11" s="509" t="s">
        <v>79</v>
      </c>
      <c r="O11" s="522">
        <v>1.4500000000000001E-2</v>
      </c>
      <c r="P11" s="518">
        <f>O11*P7</f>
        <v>557538.5862100001</v>
      </c>
      <c r="Q11" s="522">
        <f t="shared" ref="Q11:Q13" si="4">O11</f>
        <v>1.4500000000000001E-2</v>
      </c>
      <c r="R11" s="518">
        <f t="shared" ref="R11" si="5">Q11*R7</f>
        <v>566137.13</v>
      </c>
      <c r="S11" s="522">
        <f t="shared" ref="S11:S13" si="6">Q11</f>
        <v>1.4500000000000001E-2</v>
      </c>
      <c r="T11" s="518">
        <f>S11*T7</f>
        <v>567088.12699999998</v>
      </c>
      <c r="U11" s="522">
        <f t="shared" ref="U11:U13" si="7">S11</f>
        <v>1.4500000000000001E-2</v>
      </c>
      <c r="V11" s="518">
        <f>U11*V7</f>
        <v>575496.32900000003</v>
      </c>
      <c r="W11" s="522">
        <f t="shared" ref="W11:W13" si="8">U11</f>
        <v>1.4500000000000001E-2</v>
      </c>
      <c r="X11" s="518">
        <f>W11*X7</f>
        <v>587006.25558</v>
      </c>
      <c r="Y11" s="522">
        <f t="shared" ref="Y11:Y13" si="9">W11</f>
        <v>1.4500000000000001E-2</v>
      </c>
      <c r="Z11" s="518">
        <f>Y11*Z7</f>
        <v>598746.38069160003</v>
      </c>
      <c r="AA11" s="522">
        <f t="shared" ref="AA11:AA13" si="10">Y11</f>
        <v>1.4500000000000001E-2</v>
      </c>
      <c r="AB11" s="518">
        <f>AA11*AB7</f>
        <v>610721.30830543209</v>
      </c>
      <c r="AC11" s="522">
        <f t="shared" ref="AC11:AC13" si="11">AA11</f>
        <v>1.4500000000000001E-2</v>
      </c>
      <c r="AD11" s="518">
        <f>AC11*AD7</f>
        <v>622935.73447154067</v>
      </c>
      <c r="AG11" s="703">
        <f>+D10*D7</f>
        <v>4837127.8720840001</v>
      </c>
      <c r="AH11" s="703">
        <f t="shared" ref="AH11:AJ11" si="12">+E10*E7</f>
        <v>5634040.5420000004</v>
      </c>
      <c r="AI11" s="703">
        <f t="shared" si="12"/>
        <v>6367030.8328</v>
      </c>
      <c r="AJ11" s="703">
        <f t="shared" si="12"/>
        <v>7195688.5825999994</v>
      </c>
    </row>
    <row r="12" spans="2:36" x14ac:dyDescent="0.25">
      <c r="B12" s="675"/>
      <c r="C12" s="505"/>
      <c r="D12" s="515"/>
      <c r="E12" s="515"/>
      <c r="F12" s="515"/>
      <c r="G12" s="679"/>
      <c r="H12" s="679"/>
      <c r="I12" s="515"/>
      <c r="J12" s="515"/>
      <c r="K12" s="516"/>
      <c r="N12" s="509" t="s">
        <v>81</v>
      </c>
      <c r="O12" s="522">
        <v>5.0000000000000001E-4</v>
      </c>
      <c r="P12" s="518">
        <f>O12*P7</f>
        <v>19225.468490000003</v>
      </c>
      <c r="Q12" s="522">
        <f t="shared" si="4"/>
        <v>5.0000000000000001E-4</v>
      </c>
      <c r="R12" s="518">
        <f t="shared" ref="R12" si="13">Q12*R7</f>
        <v>19521.97</v>
      </c>
      <c r="S12" s="522">
        <f t="shared" si="6"/>
        <v>5.0000000000000001E-4</v>
      </c>
      <c r="T12" s="518">
        <f>S12*T7</f>
        <v>19554.762999999999</v>
      </c>
      <c r="U12" s="522">
        <f t="shared" si="7"/>
        <v>5.0000000000000001E-4</v>
      </c>
      <c r="V12" s="518">
        <f>U12*V7</f>
        <v>19844.701000000001</v>
      </c>
      <c r="W12" s="522">
        <f t="shared" si="8"/>
        <v>5.0000000000000001E-4</v>
      </c>
      <c r="X12" s="518">
        <f>W12*X7</f>
        <v>20241.595020000001</v>
      </c>
      <c r="Y12" s="522">
        <f t="shared" si="9"/>
        <v>5.0000000000000001E-4</v>
      </c>
      <c r="Z12" s="518">
        <f>Y12*Z7</f>
        <v>20646.426920400001</v>
      </c>
      <c r="AA12" s="522">
        <f t="shared" si="10"/>
        <v>5.0000000000000001E-4</v>
      </c>
      <c r="AB12" s="518">
        <f>AA12*AB7</f>
        <v>21059.355458808001</v>
      </c>
      <c r="AC12" s="522">
        <f t="shared" si="11"/>
        <v>5.0000000000000001E-4</v>
      </c>
      <c r="AD12" s="518">
        <f>AC12*AD7</f>
        <v>21480.542567984161</v>
      </c>
      <c r="AG12" s="703">
        <f>+AG11-D11</f>
        <v>-53848.127915999852</v>
      </c>
      <c r="AH12" s="703">
        <f t="shared" ref="AH12:AJ12" si="14">+AH11-E11</f>
        <v>-56623.457999999635</v>
      </c>
      <c r="AI12" s="703">
        <f t="shared" si="14"/>
        <v>-2272.1672000000253</v>
      </c>
      <c r="AJ12" s="703">
        <f t="shared" si="14"/>
        <v>-2249.4174000006169</v>
      </c>
    </row>
    <row r="13" spans="2:36" ht="15" customHeight="1" x14ac:dyDescent="0.25">
      <c r="B13" s="717" t="s">
        <v>698</v>
      </c>
      <c r="C13" s="526"/>
      <c r="D13" s="527" t="s">
        <v>566</v>
      </c>
      <c r="E13" s="528">
        <f>E10-D10</f>
        <v>1.8500000000000016E-2</v>
      </c>
      <c r="F13" s="528">
        <f t="shared" ref="F13:K14" si="15">F10-E10</f>
        <v>1.8499999999999989E-2</v>
      </c>
      <c r="G13" s="681">
        <f>G10-F10</f>
        <v>1.8499999999999989E-2</v>
      </c>
      <c r="H13" s="681">
        <f t="shared" si="15"/>
        <v>9.7000000000000142E-3</v>
      </c>
      <c r="I13" s="528">
        <f t="shared" si="15"/>
        <v>1.8500000000000016E-2</v>
      </c>
      <c r="J13" s="528">
        <f t="shared" si="15"/>
        <v>1.8500000000000016E-2</v>
      </c>
      <c r="K13" s="529">
        <f t="shared" si="15"/>
        <v>1.8500000000000016E-2</v>
      </c>
      <c r="N13" s="509" t="s">
        <v>82</v>
      </c>
      <c r="O13" s="530">
        <v>0.01</v>
      </c>
      <c r="P13" s="531">
        <f>O13*P7</f>
        <v>384509.36980000004</v>
      </c>
      <c r="Q13" s="530">
        <f t="shared" si="4"/>
        <v>0.01</v>
      </c>
      <c r="R13" s="531">
        <f t="shared" ref="R13" si="16">Q13*R7</f>
        <v>390439.4</v>
      </c>
      <c r="S13" s="530">
        <f t="shared" si="6"/>
        <v>0.01</v>
      </c>
      <c r="T13" s="531">
        <f>S13*T7</f>
        <v>391095.26</v>
      </c>
      <c r="U13" s="530">
        <f t="shared" si="7"/>
        <v>0.01</v>
      </c>
      <c r="V13" s="531">
        <f>U13*V7</f>
        <v>396894.02</v>
      </c>
      <c r="W13" s="530">
        <f t="shared" si="8"/>
        <v>0.01</v>
      </c>
      <c r="X13" s="531">
        <f>W13*X7</f>
        <v>404831.90039999998</v>
      </c>
      <c r="Y13" s="530">
        <f t="shared" si="9"/>
        <v>0.01</v>
      </c>
      <c r="Z13" s="531">
        <f>Y13*Z7</f>
        <v>412928.53840800002</v>
      </c>
      <c r="AA13" s="530">
        <f t="shared" si="10"/>
        <v>0.01</v>
      </c>
      <c r="AB13" s="531">
        <f>AA13*AB7</f>
        <v>421187.10917616001</v>
      </c>
      <c r="AC13" s="530">
        <f t="shared" si="11"/>
        <v>0.01</v>
      </c>
      <c r="AD13" s="531">
        <f>AC13*AD7</f>
        <v>429610.85135968321</v>
      </c>
    </row>
    <row r="14" spans="2:36" x14ac:dyDescent="0.25">
      <c r="B14" s="717" t="s">
        <v>699</v>
      </c>
      <c r="C14" s="526"/>
      <c r="D14" s="532" t="s">
        <v>567</v>
      </c>
      <c r="E14" s="533">
        <f>E11-D11</f>
        <v>799688</v>
      </c>
      <c r="F14" s="533">
        <f>F11-E11</f>
        <v>678639</v>
      </c>
      <c r="G14" s="682">
        <f>G11-F11</f>
        <v>828635</v>
      </c>
      <c r="H14" s="682">
        <f>H11-G11</f>
        <v>534351.29763999954</v>
      </c>
      <c r="I14" s="533">
        <f t="shared" si="15"/>
        <v>918563.58200760186</v>
      </c>
      <c r="J14" s="533">
        <f t="shared" si="15"/>
        <v>952213.20956884883</v>
      </c>
      <c r="K14" s="534">
        <f t="shared" si="15"/>
        <v>986841.39679974318</v>
      </c>
      <c r="O14" s="535">
        <f>SUM(O9:O13)</f>
        <v>0.15080000000000002</v>
      </c>
      <c r="P14" s="518">
        <f>SUM(P9:P13)</f>
        <v>5798401.2965840008</v>
      </c>
      <c r="Q14" s="535">
        <f t="shared" ref="Q14:AD14" si="17">SUM(Q9:Q13)</f>
        <v>0.16930000000000003</v>
      </c>
      <c r="R14" s="518">
        <f t="shared" si="17"/>
        <v>6610139.0420000004</v>
      </c>
      <c r="S14" s="535">
        <f t="shared" si="17"/>
        <v>0.18780000000000002</v>
      </c>
      <c r="T14" s="518">
        <f t="shared" si="17"/>
        <v>7344768.9828000003</v>
      </c>
      <c r="U14" s="535">
        <f t="shared" si="17"/>
        <v>0.20630000000000001</v>
      </c>
      <c r="V14" s="518">
        <f t="shared" si="17"/>
        <v>8187923.6326000001</v>
      </c>
      <c r="W14" s="535">
        <f t="shared" si="17"/>
        <v>0.21600000000000003</v>
      </c>
      <c r="X14" s="518">
        <f t="shared" si="17"/>
        <v>8744369.0486399997</v>
      </c>
      <c r="Y14" s="535">
        <f t="shared" si="17"/>
        <v>0.23450000000000004</v>
      </c>
      <c r="Z14" s="518">
        <f t="shared" si="17"/>
        <v>9683174.2256675996</v>
      </c>
      <c r="AA14" s="535">
        <f t="shared" si="17"/>
        <v>0.25300000000000006</v>
      </c>
      <c r="AB14" s="518">
        <f t="shared" si="17"/>
        <v>10656033.862156851</v>
      </c>
      <c r="AC14" s="535">
        <f t="shared" si="17"/>
        <v>0.27150000000000007</v>
      </c>
      <c r="AD14" s="518">
        <f t="shared" si="17"/>
        <v>11663934.614415402</v>
      </c>
    </row>
    <row r="15" spans="2:36" x14ac:dyDescent="0.25">
      <c r="B15" s="675"/>
      <c r="C15" s="505"/>
      <c r="D15" s="532"/>
      <c r="E15" s="713"/>
      <c r="F15" s="536"/>
      <c r="G15" s="683"/>
      <c r="H15" s="683"/>
      <c r="I15" s="536"/>
      <c r="J15" s="536"/>
      <c r="K15" s="537"/>
    </row>
    <row r="16" spans="2:36" x14ac:dyDescent="0.25">
      <c r="B16" s="675"/>
      <c r="C16" s="505"/>
      <c r="D16" s="536"/>
      <c r="E16" s="536"/>
      <c r="F16" s="505" t="s">
        <v>720</v>
      </c>
      <c r="G16" s="737">
        <f>SUM(E14:G14)</f>
        <v>2306962</v>
      </c>
      <c r="H16" s="695"/>
      <c r="I16" s="536"/>
      <c r="J16" s="536"/>
      <c r="K16" s="538">
        <f>SUM(E14:K14)</f>
        <v>5698931.4860161934</v>
      </c>
      <c r="N16" s="509" t="s">
        <v>118</v>
      </c>
      <c r="P16" s="518">
        <f>P14+P7</f>
        <v>44249338.276584007</v>
      </c>
      <c r="R16" s="518">
        <f>R14+R7</f>
        <v>45654079.042000003</v>
      </c>
      <c r="T16" s="518">
        <f>T14+T7</f>
        <v>46454294.982799999</v>
      </c>
      <c r="V16" s="518">
        <f>V14+V7</f>
        <v>47877325.632600002</v>
      </c>
      <c r="X16" s="518">
        <f>X14+X7</f>
        <v>49227559.088639997</v>
      </c>
      <c r="Z16" s="518">
        <f>Z14+Z7</f>
        <v>50976028.066467598</v>
      </c>
      <c r="AB16" s="518">
        <f>AB14+AB7</f>
        <v>52774744.779772855</v>
      </c>
      <c r="AD16" s="518">
        <f>AD14+AD7</f>
        <v>54625019.75038372</v>
      </c>
    </row>
    <row r="17" spans="1:42" x14ac:dyDescent="0.25">
      <c r="B17" s="675"/>
      <c r="C17" s="504"/>
      <c r="D17" s="536"/>
      <c r="E17" s="536"/>
      <c r="F17" s="536"/>
      <c r="G17" s="711"/>
      <c r="H17" s="684"/>
      <c r="I17" s="536"/>
      <c r="J17" s="536"/>
      <c r="K17" s="537"/>
    </row>
    <row r="18" spans="1:42" hidden="1" x14ac:dyDescent="0.25">
      <c r="B18" s="675"/>
      <c r="C18" s="504"/>
      <c r="D18" s="536"/>
      <c r="E18" s="536"/>
      <c r="F18" s="536"/>
      <c r="G18" s="683"/>
      <c r="H18" s="683"/>
      <c r="I18" s="536"/>
      <c r="J18" s="536"/>
      <c r="K18" s="537"/>
      <c r="N18" s="2148" t="s">
        <v>565</v>
      </c>
      <c r="O18" s="539" t="s">
        <v>566</v>
      </c>
      <c r="P18" s="540"/>
      <c r="R18" s="541">
        <f>R19/P16</f>
        <v>3.1746028757211067E-2</v>
      </c>
      <c r="T18" s="541">
        <f>T19/R16</f>
        <v>1.7527808195710797E-2</v>
      </c>
      <c r="V18" s="541">
        <f>V19/T16</f>
        <v>3.0632918879231485E-2</v>
      </c>
      <c r="X18" s="541">
        <f>X19/V16</f>
        <v>2.8201939815966071E-2</v>
      </c>
      <c r="Z18" s="541">
        <f>Z19/X16</f>
        <v>3.5518092105263181E-2</v>
      </c>
      <c r="AB18" s="541">
        <f>AB19/Z16</f>
        <v>3.5285540704738945E-2</v>
      </c>
      <c r="AD18" s="541">
        <f>AD19/AB16</f>
        <v>3.5059856344772419E-2</v>
      </c>
    </row>
    <row r="19" spans="1:42" hidden="1" x14ac:dyDescent="0.25">
      <c r="B19" s="675"/>
      <c r="C19" s="504"/>
      <c r="D19" s="536"/>
      <c r="E19" s="536"/>
      <c r="F19" s="536"/>
      <c r="G19" s="683"/>
      <c r="H19" s="683"/>
      <c r="I19" s="536"/>
      <c r="J19" s="536"/>
      <c r="K19" s="537"/>
      <c r="N19" s="2148"/>
      <c r="O19" s="539" t="s">
        <v>567</v>
      </c>
      <c r="P19" s="540"/>
      <c r="R19" s="518">
        <f>R16-P16</f>
        <v>1404740.7654159963</v>
      </c>
      <c r="T19" s="518">
        <f>T16-R16</f>
        <v>800215.94079999626</v>
      </c>
      <c r="V19" s="518">
        <f>V16-T16</f>
        <v>1423030.6498000026</v>
      </c>
      <c r="X19" s="518">
        <f>X16-V16</f>
        <v>1350233.456039995</v>
      </c>
      <c r="Z19" s="518">
        <f>Z16-X16</f>
        <v>1748468.9778276011</v>
      </c>
      <c r="AB19" s="518">
        <f>AB16-Z16</f>
        <v>1798716.7133052573</v>
      </c>
      <c r="AD19" s="518">
        <f>AD16-AB16</f>
        <v>1850274.9706108645</v>
      </c>
    </row>
    <row r="20" spans="1:42" hidden="1" x14ac:dyDescent="0.25">
      <c r="B20" s="675"/>
      <c r="C20" s="504"/>
      <c r="D20" s="536"/>
      <c r="E20" s="536"/>
      <c r="F20" s="536"/>
      <c r="G20" s="683"/>
      <c r="H20" s="683"/>
      <c r="I20" s="536"/>
      <c r="J20" s="536"/>
      <c r="K20" s="537"/>
    </row>
    <row r="21" spans="1:42" hidden="1" x14ac:dyDescent="0.25">
      <c r="B21" s="675"/>
      <c r="C21" s="504"/>
      <c r="D21" s="536"/>
      <c r="E21" s="536"/>
      <c r="F21" s="536"/>
      <c r="G21" s="683"/>
      <c r="H21" s="683"/>
      <c r="I21" s="536"/>
      <c r="J21" s="536"/>
      <c r="K21" s="537"/>
      <c r="N21" s="509" t="s">
        <v>568</v>
      </c>
      <c r="O21" s="539" t="s">
        <v>567</v>
      </c>
      <c r="P21" s="540"/>
      <c r="R21" s="540"/>
      <c r="T21" s="518">
        <f>+T19+R19</f>
        <v>2204956.7062159926</v>
      </c>
      <c r="V21" s="518">
        <f>V19+T21</f>
        <v>3627987.3560159951</v>
      </c>
      <c r="X21" s="518">
        <f>X19+V21</f>
        <v>4978220.8120559901</v>
      </c>
      <c r="Z21" s="518">
        <f>Z19+X21</f>
        <v>6726689.7898835912</v>
      </c>
      <c r="AB21" s="518">
        <f>AB19+Z21</f>
        <v>8525406.5031888485</v>
      </c>
      <c r="AD21" s="518">
        <f>AD19+AB21</f>
        <v>10375681.473799713</v>
      </c>
    </row>
    <row r="22" spans="1:42" hidden="1" x14ac:dyDescent="0.25">
      <c r="B22" s="675"/>
      <c r="C22" s="504"/>
      <c r="D22" s="536"/>
      <c r="E22" s="536"/>
      <c r="F22" s="536"/>
      <c r="G22" s="683"/>
      <c r="H22" s="683"/>
      <c r="I22" s="536"/>
      <c r="J22" s="536"/>
      <c r="K22" s="537"/>
    </row>
    <row r="23" spans="1:42" x14ac:dyDescent="0.25">
      <c r="B23" s="732" t="s">
        <v>210</v>
      </c>
      <c r="C23" s="733"/>
      <c r="D23" s="734"/>
      <c r="E23" s="734"/>
      <c r="F23" s="734"/>
      <c r="G23" s="735"/>
      <c r="H23" s="685"/>
      <c r="I23" s="542"/>
      <c r="J23" s="542"/>
      <c r="K23" s="543"/>
      <c r="L23" s="502"/>
      <c r="M23" s="502"/>
      <c r="N23" s="503" t="str">
        <f>B23</f>
        <v xml:space="preserve">Classified </v>
      </c>
      <c r="O23" s="502"/>
      <c r="P23" s="502"/>
      <c r="Q23" s="502"/>
      <c r="R23" s="502"/>
      <c r="S23" s="502"/>
      <c r="T23" s="502"/>
      <c r="U23" s="502"/>
      <c r="V23" s="502"/>
      <c r="W23" s="502"/>
      <c r="X23" s="502"/>
      <c r="Y23" s="502"/>
      <c r="Z23" s="502"/>
      <c r="AA23" s="502"/>
      <c r="AB23" s="502"/>
      <c r="AC23" s="502"/>
      <c r="AD23" s="502"/>
      <c r="AE23" s="502"/>
    </row>
    <row r="24" spans="1:42" s="696" customFormat="1" x14ac:dyDescent="0.25">
      <c r="A24" s="692"/>
      <c r="B24" s="675"/>
      <c r="C24" s="504"/>
      <c r="D24" s="505" t="s">
        <v>569</v>
      </c>
      <c r="E24" s="506">
        <f>+E5</f>
        <v>0.02</v>
      </c>
      <c r="F24" s="504"/>
      <c r="G24" s="676"/>
      <c r="H24" s="676"/>
      <c r="I24" s="504"/>
      <c r="J24" s="504"/>
      <c r="K24" s="507"/>
      <c r="L24" s="508"/>
      <c r="M24" s="508"/>
      <c r="N24" s="509"/>
      <c r="O24" s="510"/>
      <c r="P24" s="508"/>
      <c r="Q24" s="510"/>
      <c r="R24" s="508"/>
      <c r="S24" s="510"/>
      <c r="T24" s="508"/>
      <c r="U24" s="510"/>
      <c r="V24" s="508"/>
      <c r="W24" s="510"/>
      <c r="X24" s="508"/>
      <c r="Y24" s="510"/>
      <c r="Z24" s="508"/>
      <c r="AA24" s="510"/>
      <c r="AB24" s="508"/>
      <c r="AC24" s="510"/>
      <c r="AD24" s="508"/>
      <c r="AE24" s="508"/>
      <c r="AG24" s="704"/>
      <c r="AH24" s="704"/>
      <c r="AI24" s="704"/>
      <c r="AJ24" s="704"/>
      <c r="AK24" s="704"/>
      <c r="AL24" s="704"/>
      <c r="AM24" s="704"/>
      <c r="AN24" s="704"/>
      <c r="AO24" s="704"/>
      <c r="AP24" s="700"/>
    </row>
    <row r="25" spans="1:42" s="697" customFormat="1" x14ac:dyDescent="0.25">
      <c r="A25" s="693"/>
      <c r="B25" s="677"/>
      <c r="C25" s="511"/>
      <c r="D25" s="511" t="s">
        <v>298</v>
      </c>
      <c r="E25" s="511" t="s">
        <v>299</v>
      </c>
      <c r="F25" s="511" t="s">
        <v>300</v>
      </c>
      <c r="G25" s="678" t="s">
        <v>301</v>
      </c>
      <c r="H25" s="678" t="s">
        <v>302</v>
      </c>
      <c r="I25" s="511" t="s">
        <v>303</v>
      </c>
      <c r="J25" s="511" t="s">
        <v>304</v>
      </c>
      <c r="K25" s="512" t="s">
        <v>560</v>
      </c>
      <c r="L25" s="513"/>
      <c r="M25" s="513"/>
      <c r="N25" s="513"/>
      <c r="O25" s="514"/>
      <c r="P25" s="513" t="s">
        <v>298</v>
      </c>
      <c r="Q25" s="514"/>
      <c r="R25" s="513" t="s">
        <v>299</v>
      </c>
      <c r="S25" s="514"/>
      <c r="T25" s="513" t="s">
        <v>300</v>
      </c>
      <c r="U25" s="514"/>
      <c r="V25" s="513" t="s">
        <v>301</v>
      </c>
      <c r="W25" s="514"/>
      <c r="X25" s="513" t="s">
        <v>302</v>
      </c>
      <c r="Y25" s="514"/>
      <c r="Z25" s="513" t="s">
        <v>303</v>
      </c>
      <c r="AA25" s="514"/>
      <c r="AB25" s="513" t="s">
        <v>304</v>
      </c>
      <c r="AC25" s="514"/>
      <c r="AD25" s="513" t="s">
        <v>560</v>
      </c>
      <c r="AE25" s="513"/>
      <c r="AG25" s="705"/>
      <c r="AH25" s="705"/>
      <c r="AI25" s="705"/>
      <c r="AJ25" s="705"/>
      <c r="AK25" s="705"/>
      <c r="AL25" s="705"/>
      <c r="AM25" s="705"/>
      <c r="AN25" s="705"/>
      <c r="AO25" s="705"/>
      <c r="AP25" s="701"/>
    </row>
    <row r="26" spans="1:42" x14ac:dyDescent="0.25">
      <c r="B26" s="675" t="s">
        <v>561</v>
      </c>
      <c r="C26" s="505"/>
      <c r="D26" s="714">
        <f>+COMBINED!F27</f>
        <v>11932427</v>
      </c>
      <c r="E26" s="715">
        <f>+COMBINED!G27</f>
        <v>12633009</v>
      </c>
      <c r="F26" s="715">
        <f>+COMBINED!H27</f>
        <v>12812117</v>
      </c>
      <c r="G26" s="716">
        <f>+COMBINED!I27</f>
        <v>13006357</v>
      </c>
      <c r="H26" s="679" t="e">
        <f>+COMBINED!J27</f>
        <v>#REF!</v>
      </c>
      <c r="I26" s="515" t="e">
        <f t="shared" ref="I26:K26" si="18">H26*(1+$E$24)</f>
        <v>#REF!</v>
      </c>
      <c r="J26" s="515" t="e">
        <f t="shared" si="18"/>
        <v>#REF!</v>
      </c>
      <c r="K26" s="516" t="e">
        <f t="shared" si="18"/>
        <v>#REF!</v>
      </c>
      <c r="N26" s="509" t="s">
        <v>561</v>
      </c>
      <c r="O26" s="517"/>
      <c r="P26" s="518">
        <f>D26</f>
        <v>11932427</v>
      </c>
      <c r="Q26" s="517"/>
      <c r="R26" s="519">
        <f>E26</f>
        <v>12633009</v>
      </c>
      <c r="T26" s="519">
        <f>F26</f>
        <v>12812117</v>
      </c>
      <c r="V26" s="519">
        <f>G26</f>
        <v>13006357</v>
      </c>
      <c r="X26" s="519" t="e">
        <f>H26</f>
        <v>#REF!</v>
      </c>
      <c r="Z26" s="519" t="e">
        <f>I26</f>
        <v>#REF!</v>
      </c>
      <c r="AB26" s="519" t="e">
        <f>J26</f>
        <v>#REF!</v>
      </c>
      <c r="AC26" s="517"/>
      <c r="AD26" s="519" t="e">
        <f>K26</f>
        <v>#REF!</v>
      </c>
    </row>
    <row r="27" spans="1:42" x14ac:dyDescent="0.25">
      <c r="B27" s="675" t="s">
        <v>562</v>
      </c>
      <c r="C27" s="505"/>
      <c r="D27" s="715"/>
      <c r="E27" s="715">
        <f>E26-D26</f>
        <v>700582</v>
      </c>
      <c r="F27" s="715">
        <f>F26-E26</f>
        <v>179108</v>
      </c>
      <c r="G27" s="716">
        <f>G26-F26</f>
        <v>194240</v>
      </c>
      <c r="H27" s="679" t="e">
        <f t="shared" ref="H27:K27" si="19">H26-G26</f>
        <v>#REF!</v>
      </c>
      <c r="I27" s="515" t="e">
        <f t="shared" si="19"/>
        <v>#REF!</v>
      </c>
      <c r="J27" s="515" t="e">
        <f t="shared" si="19"/>
        <v>#REF!</v>
      </c>
      <c r="K27" s="516" t="e">
        <f t="shared" si="19"/>
        <v>#REF!</v>
      </c>
    </row>
    <row r="28" spans="1:42" x14ac:dyDescent="0.25">
      <c r="B28" s="675"/>
      <c r="C28" s="505"/>
      <c r="D28" s="715"/>
      <c r="E28" s="715"/>
      <c r="F28" s="715"/>
      <c r="G28" s="716"/>
      <c r="H28" s="679"/>
      <c r="I28" s="515"/>
      <c r="J28" s="515"/>
      <c r="K28" s="516"/>
      <c r="N28" s="509" t="s">
        <v>77</v>
      </c>
      <c r="O28" s="520">
        <f>D29</f>
        <v>0.13888</v>
      </c>
      <c r="P28" s="518">
        <f>O28*P26</f>
        <v>1657175.4617600001</v>
      </c>
      <c r="Q28" s="544">
        <f>E29</f>
        <v>0.15531</v>
      </c>
      <c r="R28" s="518">
        <f t="shared" ref="R28" si="20">Q28*R26</f>
        <v>1962032.6277900001</v>
      </c>
      <c r="S28" s="525">
        <f>F29</f>
        <v>0.18099999999999999</v>
      </c>
      <c r="T28" s="518">
        <f>S28*T26</f>
        <v>2318993.1770000001</v>
      </c>
      <c r="U28" s="525">
        <f>G29</f>
        <v>0.20799999999999999</v>
      </c>
      <c r="V28" s="518">
        <f>U28*V26</f>
        <v>2705322.2560000001</v>
      </c>
      <c r="W28" s="525">
        <f>H29</f>
        <v>0.249</v>
      </c>
      <c r="X28" s="518" t="e">
        <f>W28*X26</f>
        <v>#REF!</v>
      </c>
      <c r="Y28" s="525">
        <f>I29</f>
        <v>0.26400000000000001</v>
      </c>
      <c r="Z28" s="518" t="e">
        <f>Y28*Z26</f>
        <v>#REF!</v>
      </c>
      <c r="AA28" s="525">
        <f>J29</f>
        <v>0.27400000000000002</v>
      </c>
      <c r="AB28" s="518" t="e">
        <f>AA28*AB26</f>
        <v>#REF!</v>
      </c>
      <c r="AC28" s="525">
        <f>K29</f>
        <v>0.28199999999999997</v>
      </c>
      <c r="AD28" s="518" t="e">
        <f>AC28*AD26</f>
        <v>#REF!</v>
      </c>
    </row>
    <row r="29" spans="1:42" x14ac:dyDescent="0.25">
      <c r="B29" s="675" t="s">
        <v>570</v>
      </c>
      <c r="C29" s="505"/>
      <c r="D29" s="545">
        <f>+'MYP Assumptions'!D53</f>
        <v>0.13888</v>
      </c>
      <c r="E29" s="545">
        <f>+'MYP Assumptions'!E53</f>
        <v>0.15531</v>
      </c>
      <c r="F29" s="546">
        <f>+'MYP Assumptions'!F53</f>
        <v>0.18099999999999999</v>
      </c>
      <c r="G29" s="686">
        <f>+'MYP Assumptions'!G53</f>
        <v>0.20799999999999999</v>
      </c>
      <c r="H29" s="686">
        <v>0.249</v>
      </c>
      <c r="I29" s="546">
        <v>0.26400000000000001</v>
      </c>
      <c r="J29" s="546">
        <v>0.27400000000000002</v>
      </c>
      <c r="K29" s="547">
        <v>0.28199999999999997</v>
      </c>
      <c r="N29" s="509" t="s">
        <v>78</v>
      </c>
      <c r="O29" s="525">
        <v>6.2E-2</v>
      </c>
      <c r="P29" s="518">
        <f>O29*P26</f>
        <v>739810.47400000005</v>
      </c>
      <c r="Q29" s="525">
        <f>O29</f>
        <v>6.2E-2</v>
      </c>
      <c r="R29" s="518">
        <f>Q29*R26</f>
        <v>783246.55799999996</v>
      </c>
      <c r="S29" s="525">
        <f>Q29</f>
        <v>6.2E-2</v>
      </c>
      <c r="T29" s="518">
        <f>S29*T26</f>
        <v>794351.25399999996</v>
      </c>
      <c r="U29" s="525">
        <f>S29</f>
        <v>6.2E-2</v>
      </c>
      <c r="V29" s="518">
        <f>U29*V26</f>
        <v>806394.13399999996</v>
      </c>
      <c r="W29" s="525">
        <f>U29</f>
        <v>6.2E-2</v>
      </c>
      <c r="X29" s="518" t="e">
        <f>W29*X26</f>
        <v>#REF!</v>
      </c>
      <c r="Y29" s="525">
        <f>W29</f>
        <v>6.2E-2</v>
      </c>
      <c r="Z29" s="518" t="e">
        <f>Y29*Z26</f>
        <v>#REF!</v>
      </c>
      <c r="AA29" s="525">
        <f>Y29</f>
        <v>6.2E-2</v>
      </c>
      <c r="AB29" s="518" t="e">
        <f>AA29*AB26</f>
        <v>#REF!</v>
      </c>
      <c r="AC29" s="525">
        <f>AA29</f>
        <v>6.2E-2</v>
      </c>
      <c r="AD29" s="518" t="e">
        <f>AC29*AD26</f>
        <v>#REF!</v>
      </c>
    </row>
    <row r="30" spans="1:42" x14ac:dyDescent="0.25">
      <c r="B30" s="675" t="s">
        <v>571</v>
      </c>
      <c r="C30" s="505"/>
      <c r="D30" s="715">
        <f>+COMBINED!F34</f>
        <v>1515855</v>
      </c>
      <c r="E30" s="715">
        <f>+COMBINED!G34</f>
        <v>1901098</v>
      </c>
      <c r="F30" s="715">
        <f>+COMBINED!H34</f>
        <v>2300426</v>
      </c>
      <c r="G30" s="716">
        <f>+COMBINED!I34</f>
        <v>2683620</v>
      </c>
      <c r="H30" s="679" t="e">
        <f t="shared" ref="H30:K30" si="21">H26*H29</f>
        <v>#REF!</v>
      </c>
      <c r="I30" s="515" t="e">
        <f t="shared" si="21"/>
        <v>#REF!</v>
      </c>
      <c r="J30" s="515" t="e">
        <f t="shared" si="21"/>
        <v>#REF!</v>
      </c>
      <c r="K30" s="516" t="e">
        <f t="shared" si="21"/>
        <v>#REF!</v>
      </c>
      <c r="N30" s="509" t="s">
        <v>79</v>
      </c>
      <c r="O30" s="522">
        <v>1.4500000000000001E-2</v>
      </c>
      <c r="P30" s="518">
        <f>O30*P26</f>
        <v>173020.19150000002</v>
      </c>
      <c r="Q30" s="522">
        <f t="shared" ref="Q30:AC32" si="22">O30</f>
        <v>1.4500000000000001E-2</v>
      </c>
      <c r="R30" s="518">
        <f t="shared" ref="R30" si="23">Q30*R26</f>
        <v>183178.6305</v>
      </c>
      <c r="S30" s="522">
        <f t="shared" si="22"/>
        <v>1.4500000000000001E-2</v>
      </c>
      <c r="T30" s="518">
        <f>S30*T26</f>
        <v>185775.69650000002</v>
      </c>
      <c r="U30" s="522">
        <f t="shared" si="22"/>
        <v>1.4500000000000001E-2</v>
      </c>
      <c r="V30" s="518">
        <f>U30*V26</f>
        <v>188592.1765</v>
      </c>
      <c r="W30" s="522">
        <f t="shared" si="22"/>
        <v>1.4500000000000001E-2</v>
      </c>
      <c r="X30" s="518" t="e">
        <f>W30*X26</f>
        <v>#REF!</v>
      </c>
      <c r="Y30" s="522">
        <f t="shared" si="22"/>
        <v>1.4500000000000001E-2</v>
      </c>
      <c r="Z30" s="518" t="e">
        <f>Y30*Z26</f>
        <v>#REF!</v>
      </c>
      <c r="AA30" s="522">
        <f t="shared" si="22"/>
        <v>1.4500000000000001E-2</v>
      </c>
      <c r="AB30" s="518" t="e">
        <f>AA30*AB26</f>
        <v>#REF!</v>
      </c>
      <c r="AC30" s="522">
        <f t="shared" si="22"/>
        <v>1.4500000000000001E-2</v>
      </c>
      <c r="AD30" s="518" t="e">
        <f>AC30*AD26</f>
        <v>#REF!</v>
      </c>
      <c r="AG30" s="703">
        <f>+D29*D26</f>
        <v>1657175.4617600001</v>
      </c>
      <c r="AH30" s="703">
        <f t="shared" ref="AH30" si="24">+E29*E26</f>
        <v>1962032.6277900001</v>
      </c>
      <c r="AI30" s="703">
        <f t="shared" ref="AI30" si="25">+F29*F26</f>
        <v>2318993.1770000001</v>
      </c>
      <c r="AJ30" s="703">
        <f t="shared" ref="AJ30" si="26">+G29*G26</f>
        <v>2705322.2560000001</v>
      </c>
    </row>
    <row r="31" spans="1:42" x14ac:dyDescent="0.25">
      <c r="B31" s="675"/>
      <c r="C31" s="505"/>
      <c r="D31" s="536"/>
      <c r="E31" s="536"/>
      <c r="F31" s="536"/>
      <c r="G31" s="683"/>
      <c r="H31" s="679"/>
      <c r="I31" s="515"/>
      <c r="J31" s="515"/>
      <c r="K31" s="516"/>
      <c r="N31" s="509" t="s">
        <v>81</v>
      </c>
      <c r="O31" s="522">
        <v>5.0000000000000001E-4</v>
      </c>
      <c r="P31" s="518">
        <f>O31*P26</f>
        <v>5966.2134999999998</v>
      </c>
      <c r="Q31" s="522">
        <f t="shared" si="22"/>
        <v>5.0000000000000001E-4</v>
      </c>
      <c r="R31" s="518">
        <f t="shared" ref="R31" si="27">Q31*R26</f>
        <v>6316.5045</v>
      </c>
      <c r="S31" s="522">
        <f t="shared" si="22"/>
        <v>5.0000000000000001E-4</v>
      </c>
      <c r="T31" s="518">
        <f>S31*T26</f>
        <v>6406.0585000000001</v>
      </c>
      <c r="U31" s="522">
        <f t="shared" si="22"/>
        <v>5.0000000000000001E-4</v>
      </c>
      <c r="V31" s="518">
        <f>U31*V26</f>
        <v>6503.1785</v>
      </c>
      <c r="W31" s="522">
        <f t="shared" si="22"/>
        <v>5.0000000000000001E-4</v>
      </c>
      <c r="X31" s="518" t="e">
        <f>W31*X26</f>
        <v>#REF!</v>
      </c>
      <c r="Y31" s="522">
        <f t="shared" si="22"/>
        <v>5.0000000000000001E-4</v>
      </c>
      <c r="Z31" s="518" t="e">
        <f>Y31*Z26</f>
        <v>#REF!</v>
      </c>
      <c r="AA31" s="522">
        <f t="shared" si="22"/>
        <v>5.0000000000000001E-4</v>
      </c>
      <c r="AB31" s="518" t="e">
        <f>AA31*AB26</f>
        <v>#REF!</v>
      </c>
      <c r="AC31" s="522">
        <f t="shared" si="22"/>
        <v>5.0000000000000001E-4</v>
      </c>
      <c r="AD31" s="518" t="e">
        <f>AC31*AD26</f>
        <v>#REF!</v>
      </c>
      <c r="AG31" s="703">
        <f>+AG30-D30</f>
        <v>141320.46176000009</v>
      </c>
      <c r="AH31" s="703">
        <f t="shared" ref="AH31" si="28">+AH30-E30</f>
        <v>60934.627790000057</v>
      </c>
      <c r="AI31" s="703">
        <f t="shared" ref="AI31" si="29">+AI30-F30</f>
        <v>18567.177000000142</v>
      </c>
      <c r="AJ31" s="703">
        <f t="shared" ref="AJ31" si="30">+AJ30-G30</f>
        <v>21702.256000000052</v>
      </c>
    </row>
    <row r="32" spans="1:42" ht="30" x14ac:dyDescent="0.25">
      <c r="B32" s="717" t="s">
        <v>698</v>
      </c>
      <c r="C32" s="526"/>
      <c r="D32" s="527" t="s">
        <v>566</v>
      </c>
      <c r="E32" s="528">
        <f>E29-D29</f>
        <v>1.643E-2</v>
      </c>
      <c r="F32" s="528">
        <f>F29-E29</f>
        <v>2.5689999999999991E-2</v>
      </c>
      <c r="G32" s="681">
        <f>G29-F29</f>
        <v>2.6999999999999996E-2</v>
      </c>
      <c r="H32" s="681">
        <f t="shared" ref="H32:K33" si="31">H29-G29</f>
        <v>4.1000000000000009E-2</v>
      </c>
      <c r="I32" s="528">
        <f t="shared" si="31"/>
        <v>1.5000000000000013E-2</v>
      </c>
      <c r="J32" s="528">
        <f t="shared" si="31"/>
        <v>1.0000000000000009E-2</v>
      </c>
      <c r="K32" s="529">
        <f t="shared" si="31"/>
        <v>7.9999999999999516E-3</v>
      </c>
      <c r="N32" s="509" t="s">
        <v>82</v>
      </c>
      <c r="O32" s="530">
        <v>0.01</v>
      </c>
      <c r="P32" s="531">
        <f>O32*P26</f>
        <v>119324.27</v>
      </c>
      <c r="Q32" s="530">
        <f t="shared" si="22"/>
        <v>0.01</v>
      </c>
      <c r="R32" s="531">
        <f t="shared" ref="R32" si="32">Q32*R26</f>
        <v>126330.09</v>
      </c>
      <c r="S32" s="530">
        <f t="shared" si="22"/>
        <v>0.01</v>
      </c>
      <c r="T32" s="531">
        <f>S32*T26</f>
        <v>128121.17</v>
      </c>
      <c r="U32" s="530">
        <f t="shared" si="22"/>
        <v>0.01</v>
      </c>
      <c r="V32" s="531">
        <f>U32*V26</f>
        <v>130063.57</v>
      </c>
      <c r="W32" s="530">
        <f t="shared" si="22"/>
        <v>0.01</v>
      </c>
      <c r="X32" s="531" t="e">
        <f>W32*X26</f>
        <v>#REF!</v>
      </c>
      <c r="Y32" s="530">
        <f t="shared" si="22"/>
        <v>0.01</v>
      </c>
      <c r="Z32" s="531" t="e">
        <f>Y32*Z26</f>
        <v>#REF!</v>
      </c>
      <c r="AA32" s="530">
        <f t="shared" si="22"/>
        <v>0.01</v>
      </c>
      <c r="AB32" s="531" t="e">
        <f>AA32*AB26</f>
        <v>#REF!</v>
      </c>
      <c r="AC32" s="530">
        <f t="shared" si="22"/>
        <v>0.01</v>
      </c>
      <c r="AD32" s="531" t="e">
        <f>AC32*AD26</f>
        <v>#REF!</v>
      </c>
    </row>
    <row r="33" spans="2:31" x14ac:dyDescent="0.25">
      <c r="B33" s="717" t="s">
        <v>699</v>
      </c>
      <c r="C33" s="526"/>
      <c r="D33" s="532" t="s">
        <v>567</v>
      </c>
      <c r="E33" s="533">
        <f>+E30-D30</f>
        <v>385243</v>
      </c>
      <c r="F33" s="533">
        <f t="shared" ref="F33:G33" si="33">+F30-E30</f>
        <v>399328</v>
      </c>
      <c r="G33" s="682">
        <f t="shared" si="33"/>
        <v>383194</v>
      </c>
      <c r="H33" s="682" t="e">
        <f>H30-#REF!</f>
        <v>#REF!</v>
      </c>
      <c r="I33" s="533" t="e">
        <f t="shared" si="31"/>
        <v>#REF!</v>
      </c>
      <c r="J33" s="533" t="e">
        <f t="shared" si="31"/>
        <v>#REF!</v>
      </c>
      <c r="K33" s="534" t="e">
        <f t="shared" si="31"/>
        <v>#REF!</v>
      </c>
      <c r="O33" s="535">
        <f>SUM(O28:O32)</f>
        <v>0.22588000000000003</v>
      </c>
      <c r="P33" s="518">
        <f>SUM(P28:P32)</f>
        <v>2695296.6107600005</v>
      </c>
      <c r="Q33" s="535">
        <f t="shared" ref="Q33:AD33" si="34">SUM(Q28:Q32)</f>
        <v>0.24231000000000003</v>
      </c>
      <c r="R33" s="518">
        <f t="shared" si="34"/>
        <v>3061104.4107899996</v>
      </c>
      <c r="S33" s="535">
        <f t="shared" si="34"/>
        <v>0.26800000000000002</v>
      </c>
      <c r="T33" s="518">
        <f t="shared" si="34"/>
        <v>3433647.3559999997</v>
      </c>
      <c r="U33" s="535">
        <f t="shared" si="34"/>
        <v>0.29500000000000004</v>
      </c>
      <c r="V33" s="518">
        <f t="shared" si="34"/>
        <v>3836875.3149999999</v>
      </c>
      <c r="W33" s="535">
        <f t="shared" si="34"/>
        <v>0.33600000000000002</v>
      </c>
      <c r="X33" s="518" t="e">
        <f t="shared" si="34"/>
        <v>#REF!</v>
      </c>
      <c r="Y33" s="535">
        <f t="shared" si="34"/>
        <v>0.35100000000000003</v>
      </c>
      <c r="Z33" s="518" t="e">
        <f t="shared" si="34"/>
        <v>#REF!</v>
      </c>
      <c r="AA33" s="535">
        <f t="shared" si="34"/>
        <v>0.36100000000000004</v>
      </c>
      <c r="AB33" s="518" t="e">
        <f t="shared" si="34"/>
        <v>#REF!</v>
      </c>
      <c r="AC33" s="535">
        <f t="shared" si="34"/>
        <v>0.36899999999999999</v>
      </c>
      <c r="AD33" s="518" t="e">
        <f t="shared" si="34"/>
        <v>#REF!</v>
      </c>
    </row>
    <row r="34" spans="2:31" ht="15" customHeight="1" x14ac:dyDescent="0.25">
      <c r="B34" s="675"/>
      <c r="C34" s="505"/>
      <c r="D34" s="532"/>
      <c r="E34" s="536"/>
      <c r="F34" s="536"/>
      <c r="G34" s="683"/>
      <c r="H34" s="683"/>
      <c r="I34" s="536"/>
      <c r="J34" s="536"/>
      <c r="K34" s="537"/>
    </row>
    <row r="35" spans="2:31" x14ac:dyDescent="0.25">
      <c r="B35" s="675"/>
      <c r="C35" s="505"/>
      <c r="D35" s="536"/>
      <c r="E35" s="536"/>
      <c r="F35" s="505" t="s">
        <v>720</v>
      </c>
      <c r="G35" s="736">
        <f>SUM(E33:G33)</f>
        <v>1167765</v>
      </c>
      <c r="H35" s="683"/>
      <c r="I35" s="536"/>
      <c r="J35" s="536"/>
      <c r="K35" s="548" t="e">
        <f>SUM(E33:K33)</f>
        <v>#REF!</v>
      </c>
      <c r="N35" s="509" t="s">
        <v>118</v>
      </c>
      <c r="P35" s="518">
        <f>P33+P26</f>
        <v>14627723.61076</v>
      </c>
      <c r="R35" s="518">
        <f>R33+R26</f>
        <v>15694113.41079</v>
      </c>
      <c r="T35" s="518">
        <f>T33+T26</f>
        <v>16245764.355999999</v>
      </c>
      <c r="V35" s="518">
        <f>V33+V26</f>
        <v>16843232.315000001</v>
      </c>
      <c r="X35" s="518" t="e">
        <f>X33+X26</f>
        <v>#REF!</v>
      </c>
      <c r="Z35" s="518" t="e">
        <f>Z33+Z26</f>
        <v>#REF!</v>
      </c>
      <c r="AB35" s="518" t="e">
        <f>AB33+AB26</f>
        <v>#REF!</v>
      </c>
      <c r="AD35" s="518" t="e">
        <f>AD33+AD26</f>
        <v>#REF!</v>
      </c>
    </row>
    <row r="36" spans="2:31" x14ac:dyDescent="0.25">
      <c r="B36" s="687"/>
      <c r="C36" s="688"/>
      <c r="D36" s="689"/>
      <c r="E36" s="689"/>
      <c r="F36" s="689"/>
      <c r="G36" s="690"/>
      <c r="H36" s="683"/>
      <c r="I36" s="536"/>
      <c r="J36" s="536"/>
      <c r="K36" s="537" t="s">
        <v>572</v>
      </c>
    </row>
    <row r="37" spans="2:31" ht="15.75" thickBot="1" x14ac:dyDescent="0.3">
      <c r="B37" s="708"/>
      <c r="C37" s="707"/>
      <c r="D37" s="712"/>
      <c r="E37" s="712"/>
      <c r="F37" s="712"/>
      <c r="G37" s="712"/>
      <c r="H37" s="690"/>
      <c r="I37" s="549"/>
      <c r="J37" s="549"/>
      <c r="K37" s="550" t="e">
        <f>+K16+K35</f>
        <v>#REF!</v>
      </c>
      <c r="N37" s="2148" t="s">
        <v>565</v>
      </c>
      <c r="O37" s="539" t="s">
        <v>566</v>
      </c>
      <c r="P37" s="540"/>
      <c r="R37" s="541">
        <f>R38/P35</f>
        <v>7.2901965364287807E-2</v>
      </c>
      <c r="T37" s="541">
        <f>T38/R35</f>
        <v>3.5150182158791343E-2</v>
      </c>
      <c r="V37" s="541">
        <f>V38/T35</f>
        <v>3.6776845084506078E-2</v>
      </c>
      <c r="X37" s="541" t="e">
        <f>X38/V35</f>
        <v>#REF!</v>
      </c>
      <c r="Z37" s="541" t="e">
        <f>Z38/X35</f>
        <v>#REF!</v>
      </c>
      <c r="AB37" s="541" t="e">
        <f>AB38/Z35</f>
        <v>#REF!</v>
      </c>
      <c r="AD37" s="541" t="e">
        <f>AD38/AB35</f>
        <v>#REF!</v>
      </c>
    </row>
    <row r="38" spans="2:31" x14ac:dyDescent="0.25">
      <c r="B38" s="505"/>
      <c r="C38" s="504"/>
      <c r="D38" s="536"/>
      <c r="E38" s="536"/>
      <c r="F38" s="536"/>
      <c r="G38" s="536"/>
      <c r="N38" s="2148"/>
      <c r="O38" s="539" t="s">
        <v>567</v>
      </c>
      <c r="P38" s="540"/>
      <c r="R38" s="518">
        <f>R35-P35</f>
        <v>1066389.8000300005</v>
      </c>
      <c r="T38" s="518">
        <f>T35-R35</f>
        <v>551650.94520999864</v>
      </c>
      <c r="V38" s="518">
        <f>V35-T35</f>
        <v>597467.95900000259</v>
      </c>
      <c r="X38" s="518" t="e">
        <f>X35-V35</f>
        <v>#REF!</v>
      </c>
      <c r="Z38" s="518" t="e">
        <f>Z35-X35</f>
        <v>#REF!</v>
      </c>
      <c r="AB38" s="518" t="e">
        <f>AB35-Z35</f>
        <v>#REF!</v>
      </c>
      <c r="AD38" s="518" t="e">
        <f>AD35-AB35</f>
        <v>#REF!</v>
      </c>
    </row>
    <row r="39" spans="2:31" hidden="1" x14ac:dyDescent="0.25"/>
    <row r="40" spans="2:31" hidden="1" x14ac:dyDescent="0.25">
      <c r="N40" s="509" t="s">
        <v>568</v>
      </c>
      <c r="P40" s="540"/>
      <c r="R40" s="540"/>
      <c r="T40" s="518">
        <f>+T38+R38</f>
        <v>1618040.7452399991</v>
      </c>
      <c r="V40" s="518">
        <f>V38+T40</f>
        <v>2215508.7042400017</v>
      </c>
      <c r="X40" s="518" t="e">
        <f>X38+V40</f>
        <v>#REF!</v>
      </c>
      <c r="Z40" s="518" t="e">
        <f>Z38+X40</f>
        <v>#REF!</v>
      </c>
      <c r="AB40" s="518" t="e">
        <f>AB38+Z40</f>
        <v>#REF!</v>
      </c>
      <c r="AD40" s="518" t="e">
        <f>AD38+AB40</f>
        <v>#REF!</v>
      </c>
    </row>
    <row r="41" spans="2:31" hidden="1" x14ac:dyDescent="0.25"/>
    <row r="42" spans="2:31" hidden="1" x14ac:dyDescent="0.25"/>
    <row r="43" spans="2:31" hidden="1" x14ac:dyDescent="0.25">
      <c r="B43" s="551" t="s">
        <v>446</v>
      </c>
      <c r="C43" s="552"/>
      <c r="D43" s="502"/>
      <c r="E43" s="502"/>
      <c r="F43" s="502"/>
      <c r="G43" s="502"/>
      <c r="H43" s="502"/>
      <c r="I43" s="502"/>
      <c r="J43" s="502"/>
      <c r="K43" s="502"/>
      <c r="L43" s="502"/>
      <c r="M43" s="502"/>
      <c r="N43" s="503" t="str">
        <f>B43</f>
        <v>Insurance</v>
      </c>
      <c r="O43" s="502"/>
      <c r="P43" s="502"/>
      <c r="Q43" s="502"/>
      <c r="R43" s="502"/>
      <c r="S43" s="502"/>
      <c r="T43" s="502"/>
      <c r="U43" s="502"/>
      <c r="V43" s="502"/>
      <c r="W43" s="502"/>
      <c r="X43" s="502"/>
      <c r="Y43" s="502"/>
      <c r="Z43" s="502"/>
      <c r="AA43" s="502"/>
      <c r="AB43" s="502"/>
      <c r="AC43" s="502"/>
      <c r="AD43" s="502"/>
      <c r="AE43" s="502"/>
    </row>
    <row r="44" spans="2:31" hidden="1" x14ac:dyDescent="0.25"/>
    <row r="45" spans="2:31" hidden="1" x14ac:dyDescent="0.25">
      <c r="N45" s="509" t="s">
        <v>80</v>
      </c>
      <c r="P45" s="553">
        <v>5674792.4337200001</v>
      </c>
      <c r="Q45" s="554">
        <v>0.05</v>
      </c>
      <c r="R45" s="518">
        <f>P45*(1+Q45)</f>
        <v>5958532.0554060005</v>
      </c>
      <c r="S45" s="555">
        <f>Q45</f>
        <v>0.05</v>
      </c>
      <c r="T45" s="518">
        <f>R45*(1+S45)</f>
        <v>6256458.658176301</v>
      </c>
      <c r="U45" s="555">
        <f>S45</f>
        <v>0.05</v>
      </c>
      <c r="V45" s="518">
        <f>T45*(1+U45)</f>
        <v>6569281.5910851164</v>
      </c>
      <c r="W45" s="555">
        <f>U45</f>
        <v>0.05</v>
      </c>
      <c r="X45" s="518">
        <f>V45*(1+W45)</f>
        <v>6897745.6706393724</v>
      </c>
      <c r="Y45" s="555">
        <f>W45</f>
        <v>0.05</v>
      </c>
      <c r="Z45" s="518">
        <f>X45*(1+Y45)</f>
        <v>7242632.9541713409</v>
      </c>
      <c r="AA45" s="555">
        <f>Y45</f>
        <v>0.05</v>
      </c>
      <c r="AB45" s="518">
        <f>Z45*(1+AA45)</f>
        <v>7604764.6018799087</v>
      </c>
      <c r="AC45" s="555">
        <f>AA45</f>
        <v>0.05</v>
      </c>
      <c r="AD45" s="518">
        <f>AB45*(1+AC45)</f>
        <v>7985002.8319739047</v>
      </c>
    </row>
    <row r="46" spans="2:31" hidden="1" x14ac:dyDescent="0.25"/>
    <row r="47" spans="2:31" hidden="1" x14ac:dyDescent="0.25">
      <c r="N47" s="509" t="s">
        <v>573</v>
      </c>
      <c r="P47" s="540"/>
      <c r="R47" s="518">
        <f>R45-P45</f>
        <v>283739.62168600038</v>
      </c>
      <c r="T47" s="518">
        <f>T45-R45</f>
        <v>297926.60277030058</v>
      </c>
      <c r="V47" s="518">
        <f>V45-T45</f>
        <v>312822.93290881533</v>
      </c>
      <c r="X47" s="518">
        <f>X45-V45</f>
        <v>328464.07955425605</v>
      </c>
      <c r="Z47" s="518">
        <f>Z45-X45</f>
        <v>344887.28353196848</v>
      </c>
      <c r="AB47" s="518">
        <f>AB45-Z45</f>
        <v>362131.64770856779</v>
      </c>
      <c r="AD47" s="518">
        <f>AD45-AB45</f>
        <v>380238.23009399604</v>
      </c>
    </row>
    <row r="48" spans="2:31" hidden="1" x14ac:dyDescent="0.25"/>
    <row r="49" spans="1:42" hidden="1" x14ac:dyDescent="0.25"/>
    <row r="50" spans="1:42" s="698" customFormat="1" hidden="1" x14ac:dyDescent="0.25">
      <c r="A50" s="694"/>
      <c r="B50" s="556"/>
      <c r="C50" s="557"/>
      <c r="D50" s="558"/>
      <c r="E50" s="558"/>
      <c r="F50" s="558"/>
      <c r="G50" s="558"/>
      <c r="H50" s="558"/>
      <c r="I50" s="559"/>
      <c r="J50" s="559"/>
      <c r="K50" s="559"/>
      <c r="L50" s="559"/>
      <c r="M50" s="559"/>
      <c r="N50" s="560" t="s">
        <v>574</v>
      </c>
      <c r="O50" s="559"/>
      <c r="P50" s="559"/>
      <c r="Q50" s="559"/>
      <c r="R50" s="559">
        <f>R47+R19+R38</f>
        <v>2754870.1871319972</v>
      </c>
      <c r="S50" s="559"/>
      <c r="T50" s="559">
        <f>T47+T19+T38</f>
        <v>1649793.4887802955</v>
      </c>
      <c r="U50" s="559"/>
      <c r="V50" s="559">
        <f>V47+V19+V38</f>
        <v>2333321.5417088205</v>
      </c>
      <c r="W50" s="559"/>
      <c r="X50" s="559" t="e">
        <f>X47+X19+X38</f>
        <v>#REF!</v>
      </c>
      <c r="Y50" s="559"/>
      <c r="Z50" s="559" t="e">
        <f>Z47+Z19+Z38</f>
        <v>#REF!</v>
      </c>
      <c r="AA50" s="559"/>
      <c r="AB50" s="559" t="e">
        <f>AB47+AB19+AB38</f>
        <v>#REF!</v>
      </c>
      <c r="AC50" s="559"/>
      <c r="AD50" s="559" t="e">
        <f>AD47+AD19+AD38</f>
        <v>#REF!</v>
      </c>
      <c r="AE50" s="558"/>
      <c r="AG50" s="491"/>
      <c r="AH50" s="491"/>
      <c r="AI50" s="491"/>
      <c r="AJ50" s="491"/>
      <c r="AK50" s="491"/>
      <c r="AL50" s="491"/>
      <c r="AM50" s="491"/>
      <c r="AN50" s="491"/>
      <c r="AO50" s="491"/>
      <c r="AP50" s="702"/>
    </row>
    <row r="51" spans="1:42" hidden="1" x14ac:dyDescent="0.25">
      <c r="R51" s="541">
        <f>R50/(P45+P16+P35)</f>
        <v>4.26768559339906E-2</v>
      </c>
      <c r="T51" s="541">
        <f>T50/(R45+R16+R35)</f>
        <v>2.4511569992971487E-2</v>
      </c>
      <c r="V51" s="541">
        <f>V50/(T45+T16+T35)</f>
        <v>3.3837577787949429E-2</v>
      </c>
      <c r="X51" s="541" t="e">
        <f>X50/(V45+V16+V35)</f>
        <v>#REF!</v>
      </c>
      <c r="Z51" s="541" t="e">
        <f>Z50/(X45+X16+X35)</f>
        <v>#REF!</v>
      </c>
      <c r="AB51" s="541" t="e">
        <f>AB50/(Z45+Z16+Z35)</f>
        <v>#REF!</v>
      </c>
      <c r="AD51" s="541" t="e">
        <f>AD50/(AB45+AB16+AB35)</f>
        <v>#REF!</v>
      </c>
    </row>
    <row r="53" spans="1:42" x14ac:dyDescent="0.25">
      <c r="B53" s="510"/>
      <c r="C53" s="510"/>
      <c r="I53" s="510" t="s">
        <v>575</v>
      </c>
      <c r="N53" s="510"/>
      <c r="P53" s="518"/>
      <c r="R53" s="518"/>
      <c r="T53" s="518"/>
      <c r="V53" s="518"/>
      <c r="X53" s="518"/>
      <c r="Z53" s="518"/>
      <c r="AB53" s="518"/>
      <c r="AD53" s="518"/>
    </row>
    <row r="55" spans="1:42" x14ac:dyDescent="0.25">
      <c r="B55" s="510"/>
      <c r="C55" s="510"/>
      <c r="N55" s="510"/>
      <c r="P55" s="553"/>
    </row>
    <row r="56" spans="1:42" x14ac:dyDescent="0.25">
      <c r="B56" s="510"/>
      <c r="C56" s="510"/>
      <c r="N56" s="510"/>
      <c r="P56" s="553"/>
    </row>
  </sheetData>
  <sheetProtection password="DBAD" sheet="1" objects="1" scenarios="1"/>
  <mergeCells count="3">
    <mergeCell ref="N18:N19"/>
    <mergeCell ref="N37:N38"/>
    <mergeCell ref="B2:G2"/>
  </mergeCells>
  <pageMargins left="0.7" right="0.7" top="0.75" bottom="0.75" header="0.3" footer="0.3"/>
  <pageSetup orientation="portrait" r:id="rId1"/>
  <headerFooter>
    <oddHeader>&amp;L&amp;F</oddHead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12</vt:i4>
      </vt:variant>
    </vt:vector>
  </HeadingPairs>
  <TitlesOfParts>
    <vt:vector size="51" baseType="lpstr">
      <vt:lpstr>MYP Assumptions</vt:lpstr>
      <vt:lpstr>UNRESTRICTED</vt:lpstr>
      <vt:lpstr>RESTRICTED</vt:lpstr>
      <vt:lpstr>COMBINED</vt:lpstr>
      <vt:lpstr>RS 3010-ALL</vt:lpstr>
      <vt:lpstr>SSC's Dartboard</vt:lpstr>
      <vt:lpstr>LCFF</vt:lpstr>
      <vt:lpstr>Other Revenue</vt:lpstr>
      <vt:lpstr>STRS &amp; PERS</vt:lpstr>
      <vt:lpstr>Textbook Adoption Schedule</vt:lpstr>
      <vt:lpstr>RS 00XX &amp; 1400</vt:lpstr>
      <vt:lpstr>RS 0653</vt:lpstr>
      <vt:lpstr>RS 0654</vt:lpstr>
      <vt:lpstr>RS 0655</vt:lpstr>
      <vt:lpstr>RS 1100</vt:lpstr>
      <vt:lpstr>RS 0617</vt:lpstr>
      <vt:lpstr>RS 6300</vt:lpstr>
      <vt:lpstr>2016-17  RS 3010-DO &amp; All Sites</vt:lpstr>
      <vt:lpstr>2017-18  RS 3010-DO &amp; All Sites</vt:lpstr>
      <vt:lpstr>RS 3010</vt:lpstr>
      <vt:lpstr>RS 4035</vt:lpstr>
      <vt:lpstr>RS 4201</vt:lpstr>
      <vt:lpstr>RS 4203</vt:lpstr>
      <vt:lpstr>RS 5640</vt:lpstr>
      <vt:lpstr>RS 6010</vt:lpstr>
      <vt:lpstr>RS 6264</vt:lpstr>
      <vt:lpstr>RS 3310</vt:lpstr>
      <vt:lpstr>RS 3311</vt:lpstr>
      <vt:lpstr>RS 6500</vt:lpstr>
      <vt:lpstr>RS 6512</vt:lpstr>
      <vt:lpstr>RS 6230</vt:lpstr>
      <vt:lpstr>RS 7810</vt:lpstr>
      <vt:lpstr>RS 8150</vt:lpstr>
      <vt:lpstr>RS 9225</vt:lpstr>
      <vt:lpstr>RS 9076</vt:lpstr>
      <vt:lpstr>RS 9221</vt:lpstr>
      <vt:lpstr>RS 9222</vt:lpstr>
      <vt:lpstr>OTHER FUNDS - MYP</vt:lpstr>
      <vt:lpstr>RS XXXX - MYP, BLANK</vt:lpstr>
      <vt:lpstr>'2016-17  RS 3010-DO &amp; All Sites'!Print_Area</vt:lpstr>
      <vt:lpstr>'2017-18  RS 3010-DO &amp; All Sites'!Print_Area</vt:lpstr>
      <vt:lpstr>COMBINED!Print_Area</vt:lpstr>
      <vt:lpstr>LCFF!Print_Area</vt:lpstr>
      <vt:lpstr>'MYP Assumptions'!Print_Area</vt:lpstr>
      <vt:lpstr>'OTHER FUNDS - MYP'!Print_Area</vt:lpstr>
      <vt:lpstr>RESTRICTED!Print_Area</vt:lpstr>
      <vt:lpstr>'RS 00XX &amp; 1400'!Print_Area</vt:lpstr>
      <vt:lpstr>UNRESTRICTED!Print_Area</vt:lpstr>
      <vt:lpstr>'2016-17  RS 3010-DO &amp; All Sites'!Print_Titles</vt:lpstr>
      <vt:lpstr>'2017-18  RS 3010-DO &amp; All Sites'!Print_Titles</vt:lpstr>
      <vt:lpstr>'MYP Assumptions'!Print_Titles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Cheryl Phan</dc:creator>
  <cp:lastModifiedBy>Cheryl Phan</cp:lastModifiedBy>
  <cp:lastPrinted>2017-05-31T17:18:15Z</cp:lastPrinted>
  <dcterms:created xsi:type="dcterms:W3CDTF">2017-02-20T04:28:16Z</dcterms:created>
  <dcterms:modified xsi:type="dcterms:W3CDTF">2017-06-17T08:39:32Z</dcterms:modified>
</cp:coreProperties>
</file>